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C:\Users\thomsoh\Downloads\"/>
    </mc:Choice>
  </mc:AlternateContent>
  <xr:revisionPtr revIDLastSave="0" documentId="8_{3B0BB00E-EF0E-44C1-9E6A-F9D8C8ACCC9C}" xr6:coauthVersionLast="47" xr6:coauthVersionMax="47" xr10:uidLastSave="{00000000-0000-0000-0000-000000000000}"/>
  <bookViews>
    <workbookView xWindow="-110" yWindow="-110" windowWidth="19420" windowHeight="10300" activeTab="2" xr2:uid="{B5F471FE-ED72-44AC-A853-E068A8A91250}"/>
  </bookViews>
  <sheets>
    <sheet name="Energy Calculator" sheetId="1" r:id="rId1"/>
    <sheet name="Summary Graphs" sheetId="5" r:id="rId2"/>
    <sheet name="Parameters" sheetId="4" r:id="rId3"/>
    <sheet name="Background Calcs" sheetId="10" state="hidden" r:id="rId4"/>
  </sheets>
  <definedNames>
    <definedName name="_xlnm._FilterDatabase" localSheetId="0" hidden="1">'Energy Calculator'!$H$21:$H$21</definedName>
    <definedName name="Electricity__kWh">'Energy Calculator'!$C$22:$C$33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4" l="1"/>
  <c r="C12" i="4"/>
  <c r="C11" i="4"/>
  <c r="C10" i="4"/>
  <c r="B45" i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F45" i="1"/>
  <c r="F46" i="1"/>
  <c r="F47" i="1"/>
  <c r="F48" i="1"/>
  <c r="F49" i="1"/>
  <c r="F50" i="1"/>
  <c r="F51" i="1"/>
  <c r="F52" i="1"/>
  <c r="F53" i="1"/>
  <c r="F54" i="1"/>
  <c r="F55" i="1"/>
  <c r="F56" i="1"/>
  <c r="G5" i="10"/>
  <c r="C17" i="4"/>
  <c r="D17" i="4"/>
  <c r="E17" i="4"/>
  <c r="D16" i="4"/>
  <c r="C6" i="4" l="1"/>
  <c r="C5" i="4"/>
  <c r="F40" i="1"/>
  <c r="A2" i="1" l="1"/>
  <c r="A2" i="5"/>
  <c r="E57" i="1"/>
  <c r="D57" i="1" l="1"/>
  <c r="C57" i="1"/>
  <c r="F35" i="10"/>
  <c r="G35" i="10"/>
  <c r="H35" i="10"/>
  <c r="I35" i="10"/>
  <c r="J35" i="10"/>
  <c r="K35" i="10"/>
  <c r="L35" i="10"/>
  <c r="M35" i="10"/>
  <c r="N35" i="10"/>
  <c r="O35" i="10"/>
  <c r="P35" i="10"/>
  <c r="Q35" i="10"/>
  <c r="R35" i="10"/>
  <c r="E35" i="10"/>
  <c r="C34" i="10"/>
  <c r="C33" i="10"/>
  <c r="C32" i="10"/>
  <c r="C31" i="10"/>
  <c r="C30" i="10"/>
  <c r="C29" i="10"/>
  <c r="C28" i="10"/>
  <c r="C27" i="10"/>
  <c r="C26" i="10"/>
  <c r="C25" i="10"/>
  <c r="C24" i="10"/>
  <c r="C23" i="10"/>
  <c r="H56" i="1"/>
  <c r="H55" i="1"/>
  <c r="H54" i="1"/>
  <c r="H53" i="1"/>
  <c r="H52" i="1"/>
  <c r="H51" i="1"/>
  <c r="H50" i="1"/>
  <c r="H49" i="1"/>
  <c r="H48" i="1"/>
  <c r="H47" i="1"/>
  <c r="H46" i="1"/>
  <c r="H45" i="1"/>
  <c r="C9" i="10" l="1"/>
  <c r="G14" i="10"/>
  <c r="G9" i="10"/>
  <c r="G10" i="10"/>
  <c r="G16" i="10"/>
  <c r="G11" i="10"/>
  <c r="G15" i="10"/>
  <c r="G12" i="10"/>
  <c r="G13" i="10"/>
  <c r="G6" i="10"/>
  <c r="G7" i="10"/>
  <c r="G8" i="10"/>
  <c r="L65" i="1"/>
  <c r="L48" i="1"/>
  <c r="L69" i="1"/>
  <c r="L52" i="1"/>
  <c r="L62" i="1"/>
  <c r="L45" i="1"/>
  <c r="L70" i="1"/>
  <c r="L53" i="1"/>
  <c r="L73" i="1"/>
  <c r="L56" i="1"/>
  <c r="L63" i="1"/>
  <c r="L46" i="1"/>
  <c r="L71" i="1"/>
  <c r="L54" i="1"/>
  <c r="L64" i="1"/>
  <c r="L47" i="1"/>
  <c r="L66" i="1"/>
  <c r="L49" i="1"/>
  <c r="L67" i="1"/>
  <c r="L50" i="1"/>
  <c r="L68" i="1"/>
  <c r="L51" i="1"/>
  <c r="L72" i="1"/>
  <c r="L55" i="1"/>
  <c r="B27" i="1"/>
  <c r="B26" i="1"/>
  <c r="B28" i="1"/>
  <c r="B29" i="1"/>
  <c r="B22" i="1"/>
  <c r="B30" i="1"/>
  <c r="B23" i="1"/>
  <c r="B31" i="1"/>
  <c r="B24" i="1"/>
  <c r="B32" i="1"/>
  <c r="B25" i="1"/>
  <c r="B33" i="1"/>
  <c r="B7" i="10"/>
  <c r="B25" i="10"/>
  <c r="B15" i="10"/>
  <c r="B33" i="10"/>
  <c r="C35" i="10"/>
  <c r="C8" i="10"/>
  <c r="C14" i="10"/>
  <c r="C13" i="10"/>
  <c r="C15" i="10"/>
  <c r="C16" i="10"/>
  <c r="C12" i="10"/>
  <c r="C5" i="10"/>
  <c r="C11" i="10"/>
  <c r="C10" i="10"/>
  <c r="C6" i="10"/>
  <c r="C7" i="10"/>
  <c r="B11" i="10"/>
  <c r="B29" i="10"/>
  <c r="B8" i="10"/>
  <c r="B26" i="10"/>
  <c r="B12" i="10"/>
  <c r="B30" i="10"/>
  <c r="B16" i="10"/>
  <c r="B34" i="10"/>
  <c r="B5" i="10"/>
  <c r="B23" i="10"/>
  <c r="B9" i="10"/>
  <c r="B27" i="10"/>
  <c r="B13" i="10"/>
  <c r="B31" i="10"/>
  <c r="B6" i="10"/>
  <c r="B24" i="10"/>
  <c r="B10" i="10"/>
  <c r="B28" i="10"/>
  <c r="B14" i="10"/>
  <c r="B32" i="10"/>
  <c r="H67" i="1"/>
  <c r="K33" i="1"/>
  <c r="K25" i="1"/>
  <c r="K30" i="1"/>
  <c r="H68" i="1"/>
  <c r="H62" i="1"/>
  <c r="H69" i="1"/>
  <c r="K24" i="1"/>
  <c r="K23" i="1"/>
  <c r="H66" i="1"/>
  <c r="H73" i="1"/>
  <c r="H65" i="1"/>
  <c r="K29" i="1"/>
  <c r="H71" i="1"/>
  <c r="H63" i="1"/>
  <c r="K27" i="1"/>
  <c r="K32" i="1"/>
  <c r="K31" i="1"/>
  <c r="H72" i="1"/>
  <c r="H64" i="1"/>
  <c r="K28" i="1"/>
  <c r="H70" i="1"/>
  <c r="K22" i="1"/>
  <c r="K26" i="1"/>
  <c r="C17" i="10" l="1"/>
  <c r="C4" i="4"/>
  <c r="E6" i="10" l="1" a="1"/>
  <c r="E6" i="10" s="1"/>
  <c r="E7" i="10" a="1"/>
  <c r="E7" i="10" s="1"/>
  <c r="I25" i="1" a="1"/>
  <c r="I25" i="1" s="1"/>
  <c r="E9" i="10" a="1"/>
  <c r="E9" i="10" s="1"/>
  <c r="E5" i="10" a="1"/>
  <c r="E5" i="10" s="1"/>
  <c r="E14" i="10" a="1"/>
  <c r="E14" i="10" s="1"/>
  <c r="E10" i="10" a="1"/>
  <c r="E10" i="10" s="1"/>
  <c r="I27" i="1" a="1"/>
  <c r="I27" i="1" s="1"/>
  <c r="E15" i="10" a="1"/>
  <c r="E15" i="10" s="1"/>
  <c r="E11" i="10" a="1"/>
  <c r="E11" i="10" s="1"/>
  <c r="E16" i="10" a="1"/>
  <c r="E16" i="10" s="1"/>
  <c r="E12" i="10" a="1"/>
  <c r="E12" i="10" s="1"/>
  <c r="I29" i="1" a="1"/>
  <c r="I29" i="1" s="1"/>
  <c r="E13" i="10" a="1"/>
  <c r="E13" i="10" s="1"/>
  <c r="E8" i="10" a="1"/>
  <c r="E8" i="10" s="1"/>
  <c r="C7" i="4"/>
  <c r="I24" i="1" s="1" a="1"/>
  <c r="I24" i="1" s="1"/>
  <c r="D6" i="10"/>
  <c r="D5" i="10"/>
  <c r="D7" i="10"/>
  <c r="D8" i="10"/>
  <c r="D9" i="10"/>
  <c r="D10" i="10"/>
  <c r="D11" i="10"/>
  <c r="D12" i="10"/>
  <c r="E16" i="4"/>
  <c r="C16" i="4"/>
  <c r="E21" i="4"/>
  <c r="E23" i="4" s="1"/>
  <c r="F21" i="4"/>
  <c r="F23" i="4" s="1"/>
  <c r="C21" i="4"/>
  <c r="D21" i="4"/>
  <c r="D23" i="4" s="1"/>
  <c r="L27" i="1" l="1" a="1"/>
  <c r="L27" i="1" s="1"/>
  <c r="I32" i="1" a="1"/>
  <c r="I32" i="1" s="1"/>
  <c r="I33" i="1" a="1"/>
  <c r="I33" i="1" s="1"/>
  <c r="I22" i="1" a="1"/>
  <c r="I22" i="1" s="1"/>
  <c r="I45" i="1" s="1"/>
  <c r="L30" i="1" a="1"/>
  <c r="L30" i="1" s="1"/>
  <c r="I31" i="1" a="1"/>
  <c r="I31" i="1" s="1"/>
  <c r="I26" i="1" a="1"/>
  <c r="I26" i="1" s="1"/>
  <c r="I30" i="1" a="1"/>
  <c r="I30" i="1" s="1"/>
  <c r="L29" i="1" a="1"/>
  <c r="L29" i="1" s="1"/>
  <c r="I23" i="1" a="1"/>
  <c r="I23" i="1" s="1"/>
  <c r="I63" i="1" s="1"/>
  <c r="L22" i="1" a="1"/>
  <c r="L22" i="1" s="1"/>
  <c r="I28" i="1" a="1"/>
  <c r="I28" i="1" s="1"/>
  <c r="J51" i="1" s="1"/>
  <c r="D13" i="10"/>
  <c r="C23" i="4"/>
  <c r="H13" i="10" s="1"/>
  <c r="H8" i="10"/>
  <c r="H34" i="1"/>
  <c r="C34" i="1"/>
  <c r="J45" i="1" l="1"/>
  <c r="L31" i="1" a="1"/>
  <c r="L31" i="1" s="1"/>
  <c r="L24" i="1" a="1"/>
  <c r="L24" i="1" s="1"/>
  <c r="L26" i="1" a="1"/>
  <c r="L26" i="1" s="1"/>
  <c r="L28" i="1" a="1"/>
  <c r="L28" i="1" s="1"/>
  <c r="L32" i="1" a="1"/>
  <c r="L32" i="1" s="1"/>
  <c r="L25" i="1" a="1"/>
  <c r="L25" i="1" s="1"/>
  <c r="H9" i="10"/>
  <c r="L23" i="1" a="1"/>
  <c r="L23" i="1" s="1"/>
  <c r="L33" i="1" a="1"/>
  <c r="L33" i="1" s="1"/>
  <c r="F15" i="10"/>
  <c r="H14" i="10"/>
  <c r="H15" i="10"/>
  <c r="I51" i="1"/>
  <c r="J63" i="1"/>
  <c r="J48" i="1"/>
  <c r="I48" i="1"/>
  <c r="J46" i="1"/>
  <c r="I46" i="1"/>
  <c r="H11" i="10"/>
  <c r="J49" i="1"/>
  <c r="I49" i="1"/>
  <c r="I47" i="1"/>
  <c r="J47" i="1"/>
  <c r="I50" i="1"/>
  <c r="J50" i="1"/>
  <c r="F12" i="10"/>
  <c r="N52" i="1"/>
  <c r="I52" i="1"/>
  <c r="J52" i="1"/>
  <c r="D14" i="10"/>
  <c r="J65" i="1"/>
  <c r="I64" i="1"/>
  <c r="I68" i="1"/>
  <c r="I67" i="1"/>
  <c r="I66" i="1"/>
  <c r="I65" i="1"/>
  <c r="I69" i="1"/>
  <c r="J64" i="1"/>
  <c r="J68" i="1"/>
  <c r="J67" i="1"/>
  <c r="J66" i="1"/>
  <c r="J69" i="1"/>
  <c r="I62" i="1"/>
  <c r="J62" i="1"/>
  <c r="H7" i="10"/>
  <c r="F13" i="10"/>
  <c r="H12" i="10"/>
  <c r="F8" i="10"/>
  <c r="I8" i="10" s="1"/>
  <c r="H5" i="10"/>
  <c r="F10" i="10"/>
  <c r="F11" i="10"/>
  <c r="F14" i="10"/>
  <c r="F6" i="10"/>
  <c r="H10" i="10"/>
  <c r="H16" i="10"/>
  <c r="F9" i="10"/>
  <c r="H6" i="10"/>
  <c r="F5" i="10"/>
  <c r="F7" i="10"/>
  <c r="F57" i="1"/>
  <c r="I9" i="10" l="1"/>
  <c r="I14" i="10"/>
  <c r="F34" i="1"/>
  <c r="I11" i="10"/>
  <c r="M52" i="1"/>
  <c r="I12" i="10"/>
  <c r="N47" i="1"/>
  <c r="M47" i="1"/>
  <c r="M64" i="1"/>
  <c r="N64" i="1"/>
  <c r="M51" i="1"/>
  <c r="N51" i="1"/>
  <c r="M68" i="1"/>
  <c r="N68" i="1"/>
  <c r="N46" i="1"/>
  <c r="M63" i="1"/>
  <c r="N63" i="1"/>
  <c r="M46" i="1"/>
  <c r="M65" i="1"/>
  <c r="M48" i="1"/>
  <c r="N48" i="1"/>
  <c r="N65" i="1"/>
  <c r="M45" i="1"/>
  <c r="N45" i="1"/>
  <c r="M62" i="1"/>
  <c r="N62" i="1"/>
  <c r="N69" i="1"/>
  <c r="M69" i="1"/>
  <c r="N49" i="1"/>
  <c r="M66" i="1"/>
  <c r="N66" i="1"/>
  <c r="M49" i="1"/>
  <c r="M50" i="1"/>
  <c r="N50" i="1"/>
  <c r="M67" i="1"/>
  <c r="N67" i="1"/>
  <c r="M53" i="1"/>
  <c r="N53" i="1"/>
  <c r="M70" i="1"/>
  <c r="N70" i="1"/>
  <c r="I70" i="1"/>
  <c r="J53" i="1"/>
  <c r="I53" i="1"/>
  <c r="D15" i="10"/>
  <c r="I13" i="10"/>
  <c r="J70" i="1"/>
  <c r="I6" i="10"/>
  <c r="I5" i="10"/>
  <c r="I10" i="10"/>
  <c r="I7" i="10"/>
  <c r="H17" i="10"/>
  <c r="I15" i="10" l="1"/>
  <c r="G34" i="1"/>
  <c r="F16" i="10"/>
  <c r="F17" i="10" s="1"/>
  <c r="J54" i="1"/>
  <c r="I54" i="1"/>
  <c r="N54" i="1"/>
  <c r="M54" i="1"/>
  <c r="M71" i="1"/>
  <c r="N71" i="1"/>
  <c r="D16" i="10"/>
  <c r="D17" i="10" s="1"/>
  <c r="D34" i="1"/>
  <c r="E34" i="1"/>
  <c r="I71" i="1"/>
  <c r="J71" i="1"/>
  <c r="G17" i="10" l="1"/>
  <c r="N55" i="1"/>
  <c r="M55" i="1"/>
  <c r="M72" i="1"/>
  <c r="N72" i="1"/>
  <c r="J55" i="1"/>
  <c r="I55" i="1"/>
  <c r="I16" i="10"/>
  <c r="J72" i="1"/>
  <c r="I72" i="1"/>
  <c r="N56" i="1" l="1"/>
  <c r="N57" i="1" s="1"/>
  <c r="M56" i="1"/>
  <c r="M57" i="1" s="1"/>
  <c r="M73" i="1"/>
  <c r="M74" i="1" s="1"/>
  <c r="N73" i="1"/>
  <c r="N74" i="1" s="1"/>
  <c r="I56" i="1"/>
  <c r="I57" i="1" s="1"/>
  <c r="J56" i="1"/>
  <c r="J57" i="1" s="1"/>
  <c r="E17" i="10"/>
  <c r="L34" i="1"/>
  <c r="I73" i="1"/>
  <c r="I74" i="1" s="1"/>
  <c r="J73" i="1"/>
  <c r="J74" i="1" s="1"/>
  <c r="I34" i="1"/>
  <c r="I17" i="10" l="1"/>
  <c r="C18" i="10" l="1"/>
  <c r="H18" i="10"/>
  <c r="F18" i="10"/>
  <c r="D18" i="10"/>
  <c r="D19" i="10" s="1"/>
  <c r="G18" i="10"/>
  <c r="E18" i="10"/>
  <c r="E19" i="10" s="1"/>
  <c r="E4" i="10" l="1"/>
  <c r="H4" i="10"/>
  <c r="H19" i="10"/>
  <c r="C4" i="10"/>
  <c r="C19" i="10"/>
  <c r="F19" i="10"/>
  <c r="F4" i="10"/>
  <c r="G19" i="10"/>
  <c r="G4" i="10"/>
  <c r="D4" i="10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<sst xmlns="http://schemas.openxmlformats.org/spreadsheetml/2006/main" count="122" uniqueCount="94">
  <si>
    <t>Total</t>
  </si>
  <si>
    <t>Aged Care Beds</t>
  </si>
  <si>
    <t>Quantity</t>
  </si>
  <si>
    <t>Parameters and emissions factors</t>
  </si>
  <si>
    <t>Energy unit conversions</t>
  </si>
  <si>
    <t>CO2 emissions factors</t>
  </si>
  <si>
    <t>Electricity kWh to T CO2-e</t>
  </si>
  <si>
    <t>N/A</t>
  </si>
  <si>
    <t>Coal Type</t>
  </si>
  <si>
    <t>Bituminous</t>
  </si>
  <si>
    <t>Sub-bituminous</t>
  </si>
  <si>
    <t>Peat</t>
  </si>
  <si>
    <t>Coal Tonnes to MJ</t>
  </si>
  <si>
    <t>Coal Tonnes to T CO2-e</t>
  </si>
  <si>
    <t>Energy &amp; Fuel consumption</t>
  </si>
  <si>
    <t>Total (kWh)</t>
  </si>
  <si>
    <t>Total emissions</t>
  </si>
  <si>
    <t>Diesel (L)</t>
  </si>
  <si>
    <t>Average</t>
  </si>
  <si>
    <t>LPG L to kWh</t>
  </si>
  <si>
    <t>LPG kg to kWh</t>
  </si>
  <si>
    <t>Diesel L to kWh</t>
  </si>
  <si>
    <t xml:space="preserve">GJ to kWh </t>
  </si>
  <si>
    <t>https://www.elgas.com.au/blog/389-lpg-conversions-kg-litres-mj-kwh-and-m3/</t>
  </si>
  <si>
    <t>From EECA-Energy-Calculator (1) for Covered Crops</t>
  </si>
  <si>
    <t>Natural gas kWh to T CO2-e</t>
  </si>
  <si>
    <t>LPG kWh to T CO2-e</t>
  </si>
  <si>
    <t>Diesel kWh to T CO2-e</t>
  </si>
  <si>
    <t>Coal Tonnes to kWh</t>
  </si>
  <si>
    <t>Coal kWh to T CO2-e</t>
  </si>
  <si>
    <t>Incl. T&amp;D losses</t>
  </si>
  <si>
    <t>Biomass Tonne to T CO2-e</t>
  </si>
  <si>
    <t>Biomass Type</t>
  </si>
  <si>
    <t>Pellets</t>
  </si>
  <si>
    <t>Biomass Tonnes to kWh</t>
  </si>
  <si>
    <t>https://www.azwood.co.nz/Industrial+Energy.html</t>
  </si>
  <si>
    <t>Month</t>
  </si>
  <si>
    <t>Region</t>
  </si>
  <si>
    <t>OAT</t>
  </si>
  <si>
    <t>Northland</t>
  </si>
  <si>
    <t>Waikato</t>
  </si>
  <si>
    <t>West Coast</t>
  </si>
  <si>
    <t>Bay of Plenty</t>
  </si>
  <si>
    <t>Manawatu</t>
  </si>
  <si>
    <t>Canterbury</t>
  </si>
  <si>
    <t>Southland</t>
  </si>
  <si>
    <t>Queenstown</t>
  </si>
  <si>
    <t>Wellington</t>
  </si>
  <si>
    <t>Auckland</t>
  </si>
  <si>
    <t>Taranaki</t>
  </si>
  <si>
    <t>Hawkes Bay</t>
  </si>
  <si>
    <t>Tasman &amp; Marlborough</t>
  </si>
  <si>
    <t xml:space="preserve">Dunedin </t>
  </si>
  <si>
    <t>T CO2-e</t>
  </si>
  <si>
    <t>https://environment.govt.nz/guides/measuring-and-reporting-greenhouse-gas-emissions-guide-for-organisations/</t>
  </si>
  <si>
    <t>Climate Data</t>
  </si>
  <si>
    <t>https://cliflo.niwa.co.nz/</t>
  </si>
  <si>
    <t>Average outside air temperatures for 2017-2022 were retrieved from CliFLo</t>
  </si>
  <si>
    <t>Lignite</t>
  </si>
  <si>
    <t>Data Entry</t>
  </si>
  <si>
    <t>Calculated Values</t>
  </si>
  <si>
    <t>Final Metrics</t>
  </si>
  <si>
    <t>Site name</t>
  </si>
  <si>
    <t>kWh/capacity</t>
  </si>
  <si>
    <t>Independent Living Units</t>
  </si>
  <si>
    <t xml:space="preserve">Electricity (kWh) </t>
  </si>
  <si>
    <t>Natural Gas</t>
  </si>
  <si>
    <t>Independent Living Units (where energy is paid for by resident)</t>
  </si>
  <si>
    <t>Total capacity of site (number of beds/units)</t>
  </si>
  <si>
    <t>Quantity of beds/units occupied</t>
  </si>
  <si>
    <t>Serviced Units (where energy is paid for by site operator)</t>
  </si>
  <si>
    <t>Serviced Units</t>
  </si>
  <si>
    <t>Energy intensity per bed/unit (excluding ILUs)</t>
  </si>
  <si>
    <t>Emissions intensity per bed/unit (excluding ILUs)</t>
  </si>
  <si>
    <t>Energy intensity per bed/unit (including ILUs)</t>
  </si>
  <si>
    <t>Emissions intensity per bed/unit (including ILUs)</t>
  </si>
  <si>
    <t>kWh/occupied units</t>
  </si>
  <si>
    <t>T CO2-e/ occupied units</t>
  </si>
  <si>
    <t>Biomass (T)</t>
  </si>
  <si>
    <t>Coal  (T)</t>
  </si>
  <si>
    <r>
      <rPr>
        <b/>
        <sz val="11"/>
        <color theme="1"/>
        <rFont val="Franklin Gothic Book"/>
        <family val="2"/>
      </rPr>
      <t>Note</t>
    </r>
    <r>
      <rPr>
        <sz val="11"/>
        <color theme="1"/>
        <rFont val="Franklin Gothic Book"/>
        <family val="2"/>
      </rPr>
      <t>: the purpose of this tool is to calculate emissions for the energy that is the responsibility of the site operator. 
This means that any energy used by a resident that is occupying an Independent Living Unit (villa or apartment) with its own electricity meter or where the consumption is on-charged to the resident, should be excluded.</t>
    </r>
  </si>
  <si>
    <t>Enter site details</t>
  </si>
  <si>
    <t>Enter energy usage</t>
  </si>
  <si>
    <r>
      <rPr>
        <b/>
        <sz val="11"/>
        <color theme="1"/>
        <rFont val="Franklin Gothic Book"/>
        <family val="2"/>
      </rPr>
      <t>↓</t>
    </r>
    <r>
      <rPr>
        <b/>
        <i/>
        <sz val="11"/>
        <color theme="1"/>
        <rFont val="Franklin Gothic Book"/>
        <family val="2"/>
      </rPr>
      <t xml:space="preserve"> Select unit if used</t>
    </r>
  </si>
  <si>
    <t>LPG</t>
  </si>
  <si>
    <t>(GJ)</t>
  </si>
  <si>
    <r>
      <rPr>
        <b/>
        <sz val="11"/>
        <color theme="1"/>
        <rFont val="Franklin Gothic Book"/>
        <family val="2"/>
      </rPr>
      <t>↓</t>
    </r>
    <r>
      <rPr>
        <b/>
        <i/>
        <sz val="11"/>
        <color theme="1"/>
        <rFont val="Franklin Gothic Book"/>
        <family val="2"/>
      </rPr>
      <t xml:space="preserve"> Select type if used</t>
    </r>
  </si>
  <si>
    <t>T CO2-e/capacity</t>
  </si>
  <si>
    <t>https://ir.canterbury.ac.nz/handle/10092/11527</t>
  </si>
  <si>
    <t>References</t>
  </si>
  <si>
    <t>Wood Chip (MC35%)</t>
  </si>
  <si>
    <t>Wood Chip (MC25%)</t>
  </si>
  <si>
    <t>Start Date</t>
  </si>
  <si>
    <t>Enter monthly energy usage details below for the months specified: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</si>
</sst>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3" formatCode="_-* #,##0.00_-;\-* #,##0.00_-;_-* &quot;-&quot;??_-;_-@_-"/>
    <numFmt numFmtId="164" formatCode="_-* #,##0_-;\-* #,##0_-;_-* &quot;-&quot;??_-;_-@_-"/>
    <numFmt numFmtId="165" formatCode="#,##0.0"/>
    <numFmt numFmtId="166" formatCode="0.00000"/>
    <numFmt numFmtId="167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Sitka Banner Bold"/>
    </font>
    <font>
      <sz val="11"/>
      <color theme="1"/>
      <name val="Franklin Gothic Book"/>
      <family val="2"/>
    </font>
    <font>
      <b/>
      <sz val="11"/>
      <color theme="1"/>
      <name val="Franklin Gothic Book"/>
      <family val="2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Franklin Gothic Book"/>
      <family val="2"/>
    </font>
    <font>
      <sz val="11"/>
      <color theme="1"/>
      <name val="Sitka Banner Bold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Franklin Gothic Book"/>
      <family val="2"/>
    </font>
    <font>
      <sz val="11"/>
      <color theme="0"/>
      <name val="Franklin Gothic Book"/>
      <family val="2"/>
    </font>
    <font>
      <i/>
      <sz val="11"/>
      <color theme="1"/>
      <name val="Franklin Gothic Book"/>
      <family val="2"/>
    </font>
    <font>
      <sz val="24"/>
      <color theme="0"/>
      <name val="Franklin Gothic Medium"/>
      <family val="2"/>
    </font>
    <font>
      <sz val="22"/>
      <color theme="0"/>
      <name val="Franklin Gothic Medium"/>
      <family val="2"/>
    </font>
    <font>
      <b/>
      <sz val="14"/>
      <color theme="1"/>
      <name val="Sitka Banner Bold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17575"/>
        <bgColor indexed="64"/>
      </patternFill>
    </fill>
    <fill>
      <patternFill patternType="solid">
        <fgColor rgb="FFAAC1C2"/>
        <bgColor indexed="64"/>
      </patternFill>
    </fill>
    <fill>
      <patternFill patternType="solid">
        <fgColor rgb="FFCBCDD5"/>
        <bgColor indexed="64"/>
      </patternFill>
    </fill>
    <fill>
      <patternFill patternType="solid">
        <fgColor rgb="FFF9C0A3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317575"/>
      </left>
      <right style="thin">
        <color theme="0"/>
      </right>
      <top style="thin">
        <color rgb="FF317575"/>
      </top>
      <bottom style="thin">
        <color rgb="FF317575"/>
      </bottom>
      <diagonal/>
    </border>
    <border>
      <left style="thin">
        <color theme="0"/>
      </left>
      <right style="thin">
        <color theme="0"/>
      </right>
      <top style="thin">
        <color rgb="FF317575"/>
      </top>
      <bottom style="thin">
        <color rgb="FF317575"/>
      </bottom>
      <diagonal/>
    </border>
    <border>
      <left style="thin">
        <color theme="0"/>
      </left>
      <right style="thin">
        <color theme="0"/>
      </right>
      <top style="thin">
        <color rgb="FF317575"/>
      </top>
      <bottom/>
      <diagonal/>
    </border>
    <border>
      <left/>
      <right/>
      <top/>
      <bottom style="thin">
        <color rgb="FF317575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55">
    <xf numFmtId="0" fontId="0" fillId="0" borderId="0" xfId="0"/>
    <xf numFmtId="0" fontId="4" fillId="0" borderId="0" xfId="0" applyFont="1"/>
    <xf numFmtId="0" fontId="6" fillId="0" borderId="0" xfId="2"/>
    <xf numFmtId="0" fontId="0" fillId="0" borderId="7" xfId="0" applyBorder="1"/>
    <xf numFmtId="3" fontId="5" fillId="0" borderId="0" xfId="0" applyNumberFormat="1" applyFont="1"/>
    <xf numFmtId="0" fontId="13" fillId="2" borderId="5" xfId="0" applyFont="1" applyFill="1" applyBorder="1"/>
    <xf numFmtId="0" fontId="13" fillId="2" borderId="6" xfId="0" applyFont="1" applyFill="1" applyBorder="1" applyAlignment="1">
      <alignment horizontal="centerContinuous" vertical="top"/>
    </xf>
    <xf numFmtId="0" fontId="14" fillId="2" borderId="6" xfId="0" applyFont="1" applyFill="1" applyBorder="1" applyAlignment="1">
      <alignment horizontal="centerContinuous"/>
    </xf>
    <xf numFmtId="0" fontId="14" fillId="2" borderId="10" xfId="0" applyFont="1" applyFill="1" applyBorder="1"/>
    <xf numFmtId="0" fontId="13" fillId="2" borderId="9" xfId="0" applyFont="1" applyFill="1" applyBorder="1" applyAlignment="1">
      <alignment vertical="top"/>
    </xf>
    <xf numFmtId="0" fontId="13" fillId="2" borderId="0" xfId="0" applyFont="1" applyFill="1" applyAlignment="1">
      <alignment vertical="top" wrapText="1"/>
    </xf>
    <xf numFmtId="0" fontId="13" fillId="2" borderId="11" xfId="0" applyFont="1" applyFill="1" applyBorder="1"/>
    <xf numFmtId="17" fontId="4" fillId="3" borderId="9" xfId="0" applyNumberFormat="1" applyFont="1" applyFill="1" applyBorder="1" applyAlignment="1">
      <alignment horizontal="left"/>
    </xf>
    <xf numFmtId="4" fontId="4" fillId="3" borderId="0" xfId="0" applyNumberFormat="1" applyFont="1" applyFill="1"/>
    <xf numFmtId="0" fontId="4" fillId="3" borderId="11" xfId="0" applyFont="1" applyFill="1" applyBorder="1"/>
    <xf numFmtId="0" fontId="5" fillId="3" borderId="9" xfId="0" applyFont="1" applyFill="1" applyBorder="1" applyAlignment="1">
      <alignment horizontal="left"/>
    </xf>
    <xf numFmtId="3" fontId="5" fillId="3" borderId="0" xfId="0" applyNumberFormat="1" applyFont="1" applyFill="1"/>
    <xf numFmtId="3" fontId="5" fillId="3" borderId="11" xfId="0" applyNumberFormat="1" applyFont="1" applyFill="1" applyBorder="1"/>
    <xf numFmtId="0" fontId="4" fillId="3" borderId="9" xfId="0" applyFont="1" applyFill="1" applyBorder="1"/>
    <xf numFmtId="10" fontId="4" fillId="3" borderId="0" xfId="0" applyNumberFormat="1" applyFont="1" applyFill="1"/>
    <xf numFmtId="0" fontId="4" fillId="3" borderId="12" xfId="0" applyFont="1" applyFill="1" applyBorder="1"/>
    <xf numFmtId="3" fontId="4" fillId="3" borderId="7" xfId="0" applyNumberFormat="1" applyFont="1" applyFill="1" applyBorder="1"/>
    <xf numFmtId="0" fontId="4" fillId="3" borderId="13" xfId="0" applyFont="1" applyFill="1" applyBorder="1"/>
    <xf numFmtId="0" fontId="13" fillId="2" borderId="5" xfId="0" applyFont="1" applyFill="1" applyBorder="1" applyAlignment="1">
      <alignment vertical="top"/>
    </xf>
    <xf numFmtId="0" fontId="13" fillId="2" borderId="6" xfId="0" applyFont="1" applyFill="1" applyBorder="1" applyAlignment="1">
      <alignment vertical="top"/>
    </xf>
    <xf numFmtId="0" fontId="13" fillId="2" borderId="6" xfId="0" applyFont="1" applyFill="1" applyBorder="1" applyAlignment="1">
      <alignment vertical="top" wrapText="1"/>
    </xf>
    <xf numFmtId="0" fontId="13" fillId="2" borderId="10" xfId="0" applyFont="1" applyFill="1" applyBorder="1" applyAlignment="1">
      <alignment vertical="top" wrapText="1"/>
    </xf>
    <xf numFmtId="17" fontId="4" fillId="3" borderId="9" xfId="0" applyNumberFormat="1" applyFont="1" applyFill="1" applyBorder="1"/>
    <xf numFmtId="167" fontId="4" fillId="3" borderId="0" xfId="0" applyNumberFormat="1" applyFont="1" applyFill="1"/>
    <xf numFmtId="0" fontId="4" fillId="3" borderId="0" xfId="0" applyFont="1" applyFill="1"/>
    <xf numFmtId="165" fontId="4" fillId="3" borderId="0" xfId="0" applyNumberFormat="1" applyFont="1" applyFill="1"/>
    <xf numFmtId="165" fontId="4" fillId="3" borderId="11" xfId="0" applyNumberFormat="1" applyFont="1" applyFill="1" applyBorder="1"/>
    <xf numFmtId="165" fontId="5" fillId="3" borderId="7" xfId="0" applyNumberFormat="1" applyFont="1" applyFill="1" applyBorder="1"/>
    <xf numFmtId="0" fontId="4" fillId="3" borderId="7" xfId="0" applyFont="1" applyFill="1" applyBorder="1"/>
    <xf numFmtId="165" fontId="5" fillId="3" borderId="13" xfId="0" applyNumberFormat="1" applyFont="1" applyFill="1" applyBorder="1"/>
    <xf numFmtId="0" fontId="0" fillId="0" borderId="14" xfId="0" applyBorder="1"/>
    <xf numFmtId="164" fontId="4" fillId="3" borderId="1" xfId="1" applyNumberFormat="1" applyFont="1" applyFill="1" applyBorder="1" applyAlignment="1">
      <alignment horizontal="right"/>
    </xf>
    <xf numFmtId="4" fontId="0" fillId="0" borderId="14" xfId="0" applyNumberFormat="1" applyBorder="1"/>
    <xf numFmtId="0" fontId="0" fillId="0" borderId="14" xfId="0" applyBorder="1" applyAlignment="1">
      <alignment horizontal="right"/>
    </xf>
    <xf numFmtId="3" fontId="0" fillId="0" borderId="14" xfId="0" applyNumberFormat="1" applyBorder="1"/>
    <xf numFmtId="3" fontId="10" fillId="0" borderId="14" xfId="2" applyNumberFormat="1" applyFont="1" applyBorder="1"/>
    <xf numFmtId="0" fontId="6" fillId="0" borderId="14" xfId="2" applyBorder="1"/>
    <xf numFmtId="166" fontId="0" fillId="0" borderId="14" xfId="0" applyNumberFormat="1" applyBorder="1"/>
    <xf numFmtId="0" fontId="2" fillId="0" borderId="14" xfId="0" applyFont="1" applyBorder="1" applyAlignment="1">
      <alignment horizontal="right"/>
    </xf>
    <xf numFmtId="0" fontId="10" fillId="0" borderId="14" xfId="2" applyFont="1" applyBorder="1"/>
    <xf numFmtId="0" fontId="6" fillId="0" borderId="14" xfId="2" applyBorder="1" applyAlignment="1">
      <alignment vertical="top" wrapText="1"/>
    </xf>
    <xf numFmtId="0" fontId="7" fillId="0" borderId="14" xfId="0" applyFont="1" applyBorder="1" applyAlignment="1">
      <alignment horizontal="left"/>
    </xf>
    <xf numFmtId="0" fontId="0" fillId="0" borderId="14" xfId="0" applyBorder="1" applyAlignment="1">
      <alignment horizontal="center"/>
    </xf>
    <xf numFmtId="0" fontId="0" fillId="0" borderId="16" xfId="0" applyBorder="1"/>
    <xf numFmtId="0" fontId="0" fillId="0" borderId="19" xfId="0" applyBorder="1"/>
    <xf numFmtId="0" fontId="0" fillId="0" borderId="15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7" xfId="0" applyBorder="1"/>
    <xf numFmtId="0" fontId="0" fillId="0" borderId="18" xfId="0" applyBorder="1"/>
    <xf numFmtId="0" fontId="0" fillId="0" borderId="24" xfId="0" applyBorder="1"/>
    <xf numFmtId="0" fontId="2" fillId="0" borderId="18" xfId="0" applyFont="1" applyBorder="1" applyAlignment="1">
      <alignment horizontal="right"/>
    </xf>
    <xf numFmtId="0" fontId="0" fillId="0" borderId="25" xfId="0" applyBorder="1" applyAlignment="1">
      <alignment horizontal="right"/>
    </xf>
    <xf numFmtId="0" fontId="0" fillId="0" borderId="25" xfId="0" applyBorder="1"/>
    <xf numFmtId="166" fontId="0" fillId="0" borderId="25" xfId="0" applyNumberFormat="1" applyBorder="1"/>
    <xf numFmtId="166" fontId="2" fillId="0" borderId="18" xfId="0" applyNumberFormat="1" applyFont="1" applyBorder="1" applyAlignment="1">
      <alignment horizontal="right"/>
    </xf>
    <xf numFmtId="0" fontId="6" fillId="0" borderId="25" xfId="2" applyBorder="1"/>
    <xf numFmtId="0" fontId="11" fillId="0" borderId="18" xfId="2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3" fontId="0" fillId="0" borderId="19" xfId="0" applyNumberFormat="1" applyBorder="1"/>
    <xf numFmtId="4" fontId="0" fillId="0" borderId="19" xfId="0" applyNumberFormat="1" applyBorder="1"/>
    <xf numFmtId="166" fontId="0" fillId="0" borderId="19" xfId="0" applyNumberFormat="1" applyBorder="1"/>
    <xf numFmtId="0" fontId="6" fillId="0" borderId="15" xfId="2" applyBorder="1" applyAlignment="1">
      <alignment vertical="top" wrapText="1"/>
    </xf>
    <xf numFmtId="0" fontId="10" fillId="0" borderId="19" xfId="2" applyFont="1" applyFill="1" applyBorder="1"/>
    <xf numFmtId="0" fontId="6" fillId="0" borderId="19" xfId="2" applyBorder="1" applyAlignment="1">
      <alignment vertical="top"/>
    </xf>
    <xf numFmtId="0" fontId="6" fillId="0" borderId="19" xfId="2" applyBorder="1" applyAlignment="1">
      <alignment vertical="top" wrapText="1"/>
    </xf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6" fillId="0" borderId="16" xfId="2" applyBorder="1" applyAlignment="1">
      <alignment vertical="top" wrapText="1"/>
    </xf>
    <xf numFmtId="0" fontId="6" fillId="0" borderId="19" xfId="2" applyBorder="1"/>
    <xf numFmtId="0" fontId="0" fillId="0" borderId="29" xfId="0" applyBorder="1"/>
    <xf numFmtId="0" fontId="4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/>
    </xf>
    <xf numFmtId="0" fontId="9" fillId="0" borderId="0" xfId="0" applyFont="1"/>
    <xf numFmtId="17" fontId="4" fillId="0" borderId="0" xfId="0" applyNumberFormat="1" applyFont="1" applyAlignment="1">
      <alignment horizontal="left"/>
    </xf>
    <xf numFmtId="0" fontId="5" fillId="0" borderId="0" xfId="0" applyFont="1"/>
    <xf numFmtId="17" fontId="4" fillId="0" borderId="0" xfId="0" applyNumberFormat="1" applyFont="1"/>
    <xf numFmtId="164" fontId="4" fillId="0" borderId="0" xfId="1" applyNumberFormat="1" applyFont="1" applyFill="1" applyBorder="1"/>
    <xf numFmtId="164" fontId="4" fillId="4" borderId="1" xfId="1" applyNumberFormat="1" applyFont="1" applyFill="1" applyBorder="1"/>
    <xf numFmtId="164" fontId="4" fillId="5" borderId="1" xfId="1" applyNumberFormat="1" applyFont="1" applyFill="1" applyBorder="1"/>
    <xf numFmtId="164" fontId="4" fillId="0" borderId="0" xfId="1" applyNumberFormat="1" applyFont="1" applyFill="1" applyBorder="1" applyAlignment="1">
      <alignment horizontal="center"/>
    </xf>
    <xf numFmtId="17" fontId="4" fillId="0" borderId="13" xfId="0" applyNumberFormat="1" applyFont="1" applyBorder="1" applyAlignment="1">
      <alignment horizontal="left"/>
    </xf>
    <xf numFmtId="0" fontId="4" fillId="0" borderId="9" xfId="0" applyFont="1" applyBorder="1"/>
    <xf numFmtId="0" fontId="5" fillId="0" borderId="10" xfId="0" applyFont="1" applyBorder="1"/>
    <xf numFmtId="17" fontId="4" fillId="0" borderId="11" xfId="0" applyNumberFormat="1" applyFont="1" applyBorder="1" applyAlignment="1">
      <alignment horizontal="left"/>
    </xf>
    <xf numFmtId="49" fontId="15" fillId="0" borderId="0" xfId="0" applyNumberFormat="1" applyFont="1" applyAlignment="1">
      <alignment vertical="center"/>
    </xf>
    <xf numFmtId="49" fontId="15" fillId="0" borderId="0" xfId="1" applyNumberFormat="1" applyFont="1" applyFill="1" applyBorder="1" applyAlignment="1">
      <alignment vertical="center"/>
    </xf>
    <xf numFmtId="49" fontId="15" fillId="3" borderId="1" xfId="0" applyNumberFormat="1" applyFont="1" applyFill="1" applyBorder="1" applyAlignment="1">
      <alignment vertical="center"/>
    </xf>
    <xf numFmtId="49" fontId="15" fillId="4" borderId="1" xfId="1" applyNumberFormat="1" applyFont="1" applyFill="1" applyBorder="1" applyAlignment="1">
      <alignment vertical="center"/>
    </xf>
    <xf numFmtId="49" fontId="15" fillId="5" borderId="1" xfId="1" applyNumberFormat="1" applyFont="1" applyFill="1" applyBorder="1" applyAlignment="1">
      <alignment vertical="center"/>
    </xf>
    <xf numFmtId="0" fontId="4" fillId="0" borderId="0" xfId="0" applyFont="1" applyAlignment="1">
      <alignment vertical="top" wrapText="1"/>
    </xf>
    <xf numFmtId="0" fontId="0" fillId="0" borderId="30" xfId="0" applyBorder="1"/>
    <xf numFmtId="0" fontId="0" fillId="0" borderId="34" xfId="0" applyBorder="1"/>
    <xf numFmtId="43" fontId="4" fillId="5" borderId="1" xfId="1" applyFont="1" applyFill="1" applyBorder="1"/>
    <xf numFmtId="0" fontId="14" fillId="0" borderId="0" xfId="0" applyFont="1" applyAlignment="1">
      <alignment horizontal="left"/>
    </xf>
    <xf numFmtId="0" fontId="18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7" xfId="0" applyFont="1" applyBorder="1"/>
    <xf numFmtId="0" fontId="4" fillId="0" borderId="36" xfId="0" applyFont="1" applyBorder="1" applyAlignment="1">
      <alignment horizontal="center" vertical="center"/>
    </xf>
    <xf numFmtId="164" fontId="4" fillId="3" borderId="1" xfId="1" applyNumberFormat="1" applyFont="1" applyFill="1" applyBorder="1" applyAlignment="1">
      <alignment horizontal="center"/>
    </xf>
    <xf numFmtId="164" fontId="4" fillId="4" borderId="1" xfId="1" applyNumberFormat="1" applyFont="1" applyFill="1" applyBorder="1" applyAlignment="1">
      <alignment horizontal="center"/>
    </xf>
    <xf numFmtId="0" fontId="4" fillId="0" borderId="4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37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top"/>
    </xf>
    <xf numFmtId="164" fontId="5" fillId="5" borderId="1" xfId="1" applyNumberFormat="1" applyFont="1" applyFill="1" applyBorder="1"/>
    <xf numFmtId="164" fontId="4" fillId="5" borderId="1" xfId="1" applyNumberFormat="1" applyFont="1" applyFill="1" applyBorder="1" applyAlignment="1">
      <alignment horizontal="center"/>
    </xf>
    <xf numFmtId="164" fontId="5" fillId="4" borderId="1" xfId="1" applyNumberFormat="1" applyFont="1" applyFill="1" applyBorder="1"/>
    <xf numFmtId="43" fontId="5" fillId="5" borderId="1" xfId="1" applyFont="1" applyFill="1" applyBorder="1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18" fillId="0" borderId="1" xfId="0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/>
    </xf>
    <xf numFmtId="0" fontId="4" fillId="6" borderId="4" xfId="0" applyFont="1" applyFill="1" applyBorder="1" applyAlignment="1">
      <alignment horizontal="left" vertical="center"/>
    </xf>
    <xf numFmtId="0" fontId="4" fillId="6" borderId="1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18" xfId="0" applyFont="1" applyBorder="1"/>
    <xf numFmtId="0" fontId="20" fillId="0" borderId="14" xfId="0" applyFont="1" applyBorder="1"/>
    <xf numFmtId="0" fontId="19" fillId="0" borderId="18" xfId="0" applyFont="1" applyBorder="1" applyAlignment="1">
      <alignment horizontal="right"/>
    </xf>
    <xf numFmtId="17" fontId="4" fillId="3" borderId="1" xfId="0" applyNumberFormat="1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17" fillId="2" borderId="32" xfId="0" applyFont="1" applyFill="1" applyBorder="1" applyAlignment="1">
      <alignment horizontal="left" vertical="center" wrapText="1" indent="1"/>
    </xf>
    <xf numFmtId="0" fontId="17" fillId="2" borderId="33" xfId="0" applyFont="1" applyFill="1" applyBorder="1" applyAlignment="1">
      <alignment horizontal="left" vertical="center" wrapText="1" indent="1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16" fillId="2" borderId="31" xfId="0" applyFont="1" applyFill="1" applyBorder="1" applyAlignment="1">
      <alignment horizontal="left" vertical="center" indent="35"/>
    </xf>
  </cellXfs>
  <cellStyles count="3">
    <cellStyle name="Comma" xfId="1" builtinId="3"/>
    <cellStyle name="Hyperlink" xfId="2" builtinId="8"/>
    <cellStyle name="Normal" xfId="0" builtinId="0"/>
  </cellStyles>
  <dxfs count="5">
    <dxf>
      <font>
        <color auto="1"/>
      </font>
      <fill>
        <patternFill>
          <bgColor rgb="FFFF5050"/>
        </patternFill>
      </fill>
    </dxf>
    <dxf>
      <font>
        <color auto="1"/>
      </font>
      <fill>
        <patternFill>
          <bgColor rgb="FFFF5050"/>
        </patternFill>
      </fill>
    </dxf>
    <dxf>
      <font>
        <color auto="1"/>
      </font>
      <fill>
        <patternFill>
          <bgColor rgb="FFFF5050"/>
        </patternFill>
      </fill>
    </dxf>
    <dxf>
      <font>
        <b/>
        <i val="0"/>
        <color rgb="FF265D5C"/>
      </font>
    </dxf>
    <dxf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</dxfs>
  <tableStyles count="1" defaultTableStyle="TableStyleMedium2" defaultPivotStyle="PivotStyleLight16">
    <tableStyle name="Timeline Style 3" pivot="0" table="0" count="9" xr9:uid="{3135FECB-768C-4DBC-AB13-B730620A0E75}">
      <tableStyleElement type="wholeTable" dxfId="4"/>
      <tableStyleElement type="headerRow" dxfId="3"/>
    </tableStyle>
  </tableStyles>
  <colors>
    <mruColors>
      <color rgb="FF317575"/>
      <color rgb="FF388684"/>
      <color rgb="FF3E9694"/>
      <color rgb="FFAAC1C2"/>
      <color rgb="FFFFC7CE"/>
      <color rgb="FFFF9797"/>
      <color rgb="FFFF5050"/>
      <color rgb="FFFF7E1D"/>
      <color rgb="FF8CD0CE"/>
      <color rgb="FFABDD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A0A4C193-F2C1-4fcb-8827-314CF55A85BB}">
      <x15:dxfs count="7">
        <dxf>
          <fill>
            <patternFill>
              <bgColor theme="0"/>
            </patternFill>
          </fill>
        </dxf>
        <dxf>
          <fill>
            <patternFill patternType="solid">
              <fgColor theme="0" tint="-0.14999847407452621"/>
              <bgColor theme="0" tint="-0.14999847407452621"/>
            </patternFill>
          </fill>
        </dxf>
        <dxf>
          <fill>
            <patternFill patternType="solid">
              <fgColor theme="0"/>
              <bgColor rgb="FF317575"/>
            </patternFill>
          </fill>
        </dxf>
        <dxf>
          <font>
            <sz val="9"/>
            <color theme="1" tint="0.499984740745262"/>
          </font>
        </dxf>
        <dxf>
          <font>
            <sz val="9"/>
            <color theme="0"/>
            <name val="Calibri"/>
            <family val="2"/>
            <scheme val="minor"/>
          </font>
        </dxf>
        <dxf>
          <font>
            <sz val="9"/>
            <color auto="1"/>
            <name val="Calibri"/>
            <family val="2"/>
            <scheme val="minor"/>
          </font>
        </dxf>
        <dxf>
          <font>
            <sz val="10"/>
            <color auto="1"/>
            <name val="Calibri"/>
            <family val="2"/>
            <scheme val="minor"/>
          </font>
        </dxf>
      </x15:dxfs>
    </ext>
    <ext xmlns:x15="http://schemas.microsoft.com/office/spreadsheetml/2010/11/main" uri="{9260A510-F301-46a8-8635-F512D64BE5F5}">
      <x15:timelineStyles defaultTimelineStyle="TimeSlicerStyleLight1">
        <x15:timelineStyle name="Timeline Style 3">
          <x15:timelineStyleElements>
            <x15:timelineStyleElement type="selectionLabel" dxfId="6"/>
            <x15:timelineStyleElement type="timeLevel" dxfId="5"/>
            <x15:timelineStyleElement type="periodLabel1" dxfId="4"/>
            <x15:timelineStyleElement type="periodLabel2" dxfId="3"/>
            <x15:timelineStyleElement type="selectedTimeBlock" dxfId="2"/>
            <x15:timelineStyleElement type="unselectedTimeBlock" dxfId="1"/>
            <x15:timelineStyleElement type="selectedTimeBlockSpace" dxfId="0"/>
          </x15:timelineStyleElements>
        </x15:timelineStyle>
      </x15:timelineStyles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800" b="0" i="0" u="none" strike="noStrike" kern="1200" spc="0" baseline="0">
                <a:solidFill>
                  <a:sysClr val="windowText" lastClr="000000"/>
                </a:solidFill>
                <a:latin typeface="Franklin Gothic Book" panose="020B0503020102020204" pitchFamily="34" charset="0"/>
                <a:ea typeface="+mn-ea"/>
                <a:cs typeface="+mn-cs"/>
              </a:defRPr>
            </a:pPr>
            <a:r>
              <a:rPr lang="en-NZ" sz="1800"/>
              <a:t>Total Energy Consumption per Month</a:t>
            </a:r>
          </a:p>
        </c:rich>
      </c:tx>
      <c:layout>
        <c:manualLayout>
          <c:xMode val="edge"/>
          <c:yMode val="edge"/>
          <c:x val="8.8579091547982738E-3"/>
          <c:y val="2.20303637455453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800" b="0" i="0" u="none" strike="noStrike" kern="1200" spc="0" baseline="0">
              <a:solidFill>
                <a:sysClr val="windowText" lastClr="000000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872537777438015"/>
          <c:y val="0.21422885275553571"/>
          <c:w val="0.70065399417097407"/>
          <c:h val="0.6538915771612522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317575"/>
            </a:solidFill>
            <a:ln>
              <a:noFill/>
            </a:ln>
            <a:effectLst/>
          </c:spPr>
          <c:invertIfNegative val="0"/>
          <c:cat>
            <c:numRef>
              <c:f>'Energy Calculator'!$B$22:$B$33</c:f>
              <c:numCache>
                <c:formatCode>mmm\-yy</c:formatCode>
                <c:ptCount val="12"/>
                <c:pt idx="0">
                  <c:v>0</c:v>
                </c:pt>
                <c:pt idx="1">
                  <c:v>32</c:v>
                </c:pt>
                <c:pt idx="2">
                  <c:v>61</c:v>
                </c:pt>
                <c:pt idx="3">
                  <c:v>92</c:v>
                </c:pt>
                <c:pt idx="4">
                  <c:v>122</c:v>
                </c:pt>
                <c:pt idx="5">
                  <c:v>153</c:v>
                </c:pt>
                <c:pt idx="6">
                  <c:v>183</c:v>
                </c:pt>
                <c:pt idx="7">
                  <c:v>214</c:v>
                </c:pt>
                <c:pt idx="8">
                  <c:v>245</c:v>
                </c:pt>
                <c:pt idx="9">
                  <c:v>275</c:v>
                </c:pt>
                <c:pt idx="10">
                  <c:v>306</c:v>
                </c:pt>
                <c:pt idx="11">
                  <c:v>336</c:v>
                </c:pt>
              </c:numCache>
            </c:numRef>
          </c:cat>
          <c:val>
            <c:numRef>
              <c:f>'Energy Calculator'!$I$22:$I$33</c:f>
              <c:numCache>
                <c:formatCode>_-* #,##0_-;\-* #,##0_-;_-*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D7-44E8-8E5F-3B2D7C29D5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538320128"/>
        <c:axId val="993868464"/>
      </c:barChart>
      <c:lineChart>
        <c:grouping val="standard"/>
        <c:varyColors val="0"/>
        <c:ser>
          <c:idx val="1"/>
          <c:order val="1"/>
          <c:tx>
            <c:v>OAT</c:v>
          </c:tx>
          <c:spPr>
            <a:ln w="28575" cap="rnd">
              <a:solidFill>
                <a:srgbClr val="8CD0CE"/>
              </a:solidFill>
              <a:round/>
            </a:ln>
            <a:effectLst/>
          </c:spPr>
          <c:marker>
            <c:symbol val="none"/>
          </c:marker>
          <c:val>
            <c:numRef>
              <c:f>'Background Calcs'!$C$23:$C$34</c:f>
              <c:numCache>
                <c:formatCode>0.0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33-4A34-9245-237077F7F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3674800"/>
        <c:axId val="1979211824"/>
      </c:lineChart>
      <c:dateAx>
        <c:axId val="538320128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Franklin Gothic Book" panose="020B0503020102020204" pitchFamily="34" charset="0"/>
                <a:ea typeface="+mn-ea"/>
                <a:cs typeface="+mn-cs"/>
              </a:defRPr>
            </a:pPr>
            <a:endParaRPr lang="en-US"/>
          </a:p>
        </c:txPr>
        <c:crossAx val="993868464"/>
        <c:crosses val="autoZero"/>
        <c:auto val="1"/>
        <c:lblOffset val="100"/>
        <c:baseTimeUnit val="months"/>
      </c:dateAx>
      <c:valAx>
        <c:axId val="993868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r>
                  <a:rPr lang="en-NZ" sz="1200" b="1"/>
                  <a:t>Energy Consumption (kWh)</a:t>
                </a:r>
              </a:p>
            </c:rich>
          </c:tx>
          <c:layout>
            <c:manualLayout>
              <c:xMode val="edge"/>
              <c:yMode val="edge"/>
              <c:x val="2.2171554255463615E-2"/>
              <c:y val="0.2949507532413149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Franklin Gothic Book" panose="020B05030201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Franklin Gothic Book" panose="020B0503020102020204" pitchFamily="34" charset="0"/>
                <a:ea typeface="+mn-ea"/>
                <a:cs typeface="+mn-cs"/>
              </a:defRPr>
            </a:pPr>
            <a:endParaRPr lang="en-US"/>
          </a:p>
        </c:txPr>
        <c:crossAx val="538320128"/>
        <c:crosses val="autoZero"/>
        <c:crossBetween val="between"/>
      </c:valAx>
      <c:valAx>
        <c:axId val="1979211824"/>
        <c:scaling>
          <c:orientation val="minMax"/>
        </c:scaling>
        <c:delete val="0"/>
        <c:axPos val="r"/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r>
                  <a:rPr lang="en-NZ" sz="1200" b="1"/>
                  <a:t>Average Outside</a:t>
                </a:r>
              </a:p>
              <a:p>
                <a:pPr>
                  <a:defRPr sz="1200" b="1"/>
                </a:pPr>
                <a:r>
                  <a:rPr lang="en-NZ" sz="1200" b="1"/>
                  <a:t> Air Temperature (°C)</a:t>
                </a:r>
              </a:p>
            </c:rich>
          </c:tx>
          <c:layout>
            <c:manualLayout>
              <c:xMode val="edge"/>
              <c:yMode val="edge"/>
              <c:x val="0.89158486707566464"/>
              <c:y val="0.3481385612153058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Franklin Gothic Book" panose="020B05030201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Franklin Gothic Book" panose="020B0503020102020204" pitchFamily="34" charset="0"/>
                <a:ea typeface="+mn-ea"/>
                <a:cs typeface="+mn-cs"/>
              </a:defRPr>
            </a:pPr>
            <a:endParaRPr lang="en-US"/>
          </a:p>
        </c:txPr>
        <c:crossAx val="1983674800"/>
        <c:crosses val="max"/>
        <c:crossBetween val="between"/>
      </c:valAx>
      <c:catAx>
        <c:axId val="1983674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97921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Franklin Gothic Book" panose="020B05030201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400" b="0" i="0" u="none" strike="noStrike" kern="1200" spc="0" baseline="0">
                <a:solidFill>
                  <a:sysClr val="windowText" lastClr="000000"/>
                </a:solidFill>
                <a:latin typeface="Franklin Gothic Book" panose="020B0503020102020204" pitchFamily="34" charset="0"/>
                <a:ea typeface="+mn-ea"/>
                <a:cs typeface="+mn-cs"/>
              </a:defRPr>
            </a:pPr>
            <a:r>
              <a:rPr lang="en-NZ" sz="1800" b="0" i="0" baseline="0">
                <a:solidFill>
                  <a:sysClr val="windowText" lastClr="000000"/>
                </a:solidFill>
                <a:effectLst/>
                <a:latin typeface="Franklin Gothic Book" panose="020B0503020102020204" pitchFamily="34" charset="0"/>
              </a:rPr>
              <a:t>Emission Breakdown by GHG Contributor</a:t>
            </a:r>
            <a:endParaRPr lang="en-NZ" b="0">
              <a:solidFill>
                <a:sysClr val="windowText" lastClr="000000"/>
              </a:solidFill>
              <a:effectLst/>
              <a:latin typeface="Franklin Gothic Book" panose="020B0503020102020204" pitchFamily="34" charset="0"/>
            </a:endParaRPr>
          </a:p>
        </c:rich>
      </c:tx>
      <c:layout>
        <c:manualLayout>
          <c:xMode val="edge"/>
          <c:yMode val="edge"/>
          <c:x val="1.1462296041009306E-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400" b="0" i="0" u="none" strike="noStrike" kern="1200" spc="0" baseline="0">
              <a:solidFill>
                <a:sysClr val="windowText" lastClr="000000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72406435246004"/>
          <c:y val="0.1389455943934958"/>
          <c:w val="0.41030903359782156"/>
          <c:h val="0.6990902345506182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4B0-447E-A19D-2AF7E5504D7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4B0-447E-A19D-2AF7E5504D7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4B0-447E-A19D-2AF7E5504D7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4B0-447E-A19D-2AF7E5504D7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4B0-447E-A19D-2AF7E5504D7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4B0-447E-A19D-2AF7E5504D7C}"/>
              </c:ext>
            </c:extLst>
          </c:dPt>
          <c:dLbls>
            <c:numFmt formatCode="0%;\-0%;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ln>
                      <a:noFill/>
                    </a:ln>
                    <a:solidFill>
                      <a:sysClr val="windowText" lastClr="000000"/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bg1"/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multiLvlStrRef>
              <c:f>'Background Calcs'!$C$4:$H$4</c:f>
            </c:multiLvlStrRef>
          </c:cat>
          <c:val>
            <c:numRef>
              <c:f>'Background Calcs'!$C$19:$H$19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4B0-447E-A19D-2AF7E5504D7C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400" b="0" i="0" u="none" strike="noStrike" kern="1200" spc="0" baseline="0">
                <a:solidFill>
                  <a:sysClr val="windowText" lastClr="000000"/>
                </a:solidFill>
                <a:latin typeface="Franklin Gothic Book" panose="020B0503020102020204" pitchFamily="34" charset="0"/>
                <a:ea typeface="+mn-ea"/>
                <a:cs typeface="+mn-cs"/>
              </a:defRPr>
            </a:pPr>
            <a:r>
              <a:rPr lang="en-NZ" sz="1800" b="0" i="0" baseline="0">
                <a:effectLst/>
                <a:latin typeface="Franklin Gothic Book" panose="020B0503020102020204" pitchFamily="34" charset="0"/>
              </a:rPr>
              <a:t>Total Carbon Emissions per Month </a:t>
            </a:r>
            <a:endParaRPr lang="en-NZ" b="0">
              <a:effectLst/>
              <a:latin typeface="Franklin Gothic Book" panose="020B0503020102020204" pitchFamily="34" charset="0"/>
            </a:endParaRPr>
          </a:p>
        </c:rich>
      </c:tx>
      <c:layout>
        <c:manualLayout>
          <c:xMode val="edge"/>
          <c:yMode val="edge"/>
          <c:x val="1.165109415755379E-2"/>
          <c:y val="1.92887318114473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400" b="0" i="0" u="none" strike="noStrike" kern="1200" spc="0" baseline="0">
              <a:solidFill>
                <a:sysClr val="windowText" lastClr="000000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071334771776569"/>
          <c:y val="0.2177217501714343"/>
          <c:w val="0.70201654331637975"/>
          <c:h val="0.71291893189027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'Background Calcs'!$C$4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'Background Calcs'!$B$5:$B$16</c:f>
              <c:numCache>
                <c:formatCode>mmm\-yy</c:formatCode>
                <c:ptCount val="12"/>
                <c:pt idx="0">
                  <c:v>0</c:v>
                </c:pt>
                <c:pt idx="1">
                  <c:v>32</c:v>
                </c:pt>
                <c:pt idx="2">
                  <c:v>61</c:v>
                </c:pt>
                <c:pt idx="3">
                  <c:v>92</c:v>
                </c:pt>
                <c:pt idx="4">
                  <c:v>122</c:v>
                </c:pt>
                <c:pt idx="5">
                  <c:v>153</c:v>
                </c:pt>
                <c:pt idx="6">
                  <c:v>183</c:v>
                </c:pt>
                <c:pt idx="7">
                  <c:v>214</c:v>
                </c:pt>
                <c:pt idx="8">
                  <c:v>245</c:v>
                </c:pt>
                <c:pt idx="9">
                  <c:v>275</c:v>
                </c:pt>
                <c:pt idx="10">
                  <c:v>306</c:v>
                </c:pt>
                <c:pt idx="11">
                  <c:v>336</c:v>
                </c:pt>
              </c:numCache>
            </c:numRef>
          </c:cat>
          <c:val>
            <c:numRef>
              <c:f>'Background Calcs'!$C$5:$C$16</c:f>
              <c:numCache>
                <c:formatCode>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73-4094-8CEF-1DEB819D9F6B}"/>
            </c:ext>
          </c:extLst>
        </c:ser>
        <c:ser>
          <c:idx val="1"/>
          <c:order val="1"/>
          <c:tx>
            <c:strRef>
              <c:f>'Background Calcs'!$D$4</c:f>
              <c:strCache>
                <c:ptCount val="1"/>
              </c:strCache>
            </c:strRef>
          </c:tx>
          <c:spPr>
            <a:solidFill>
              <a:srgbClr val="3E9694"/>
            </a:solidFill>
            <a:ln>
              <a:noFill/>
            </a:ln>
            <a:effectLst/>
          </c:spPr>
          <c:invertIfNegative val="0"/>
          <c:cat>
            <c:numRef>
              <c:f>'Background Calcs'!$B$5:$B$16</c:f>
              <c:numCache>
                <c:formatCode>mmm\-yy</c:formatCode>
                <c:ptCount val="12"/>
                <c:pt idx="0">
                  <c:v>0</c:v>
                </c:pt>
                <c:pt idx="1">
                  <c:v>32</c:v>
                </c:pt>
                <c:pt idx="2">
                  <c:v>61</c:v>
                </c:pt>
                <c:pt idx="3">
                  <c:v>92</c:v>
                </c:pt>
                <c:pt idx="4">
                  <c:v>122</c:v>
                </c:pt>
                <c:pt idx="5">
                  <c:v>153</c:v>
                </c:pt>
                <c:pt idx="6">
                  <c:v>183</c:v>
                </c:pt>
                <c:pt idx="7">
                  <c:v>214</c:v>
                </c:pt>
                <c:pt idx="8">
                  <c:v>245</c:v>
                </c:pt>
                <c:pt idx="9">
                  <c:v>275</c:v>
                </c:pt>
                <c:pt idx="10">
                  <c:v>306</c:v>
                </c:pt>
                <c:pt idx="11">
                  <c:v>336</c:v>
                </c:pt>
              </c:numCache>
            </c:numRef>
          </c:cat>
          <c:val>
            <c:numRef>
              <c:f>'Background Calcs'!$D$5:$D$16</c:f>
              <c:numCache>
                <c:formatCode>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06-4AB5-AD22-AA54C7B001BB}"/>
            </c:ext>
          </c:extLst>
        </c:ser>
        <c:ser>
          <c:idx val="2"/>
          <c:order val="2"/>
          <c:tx>
            <c:strRef>
              <c:f>'Background Calcs'!$E$4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'Background Calcs'!$E$5:$E$16</c:f>
              <c:numCache>
                <c:formatCode>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06-4AB5-AD22-AA54C7B001BB}"/>
            </c:ext>
          </c:extLst>
        </c:ser>
        <c:ser>
          <c:idx val="3"/>
          <c:order val="3"/>
          <c:tx>
            <c:strRef>
              <c:f>'Background Calcs'!$F$4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'Background Calcs'!$F$5:$F$16</c:f>
              <c:numCache>
                <c:formatCode>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06-4AB5-AD22-AA54C7B001BB}"/>
            </c:ext>
          </c:extLst>
        </c:ser>
        <c:ser>
          <c:idx val="4"/>
          <c:order val="4"/>
          <c:tx>
            <c:strRef>
              <c:f>'Background Calcs'!$G$4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'Background Calcs'!$G$5:$G$16</c:f>
              <c:numCache>
                <c:formatCode>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06-4AB5-AD22-AA54C7B001BB}"/>
            </c:ext>
          </c:extLst>
        </c:ser>
        <c:ser>
          <c:idx val="5"/>
          <c:order val="5"/>
          <c:tx>
            <c:strRef>
              <c:f>'Background Calcs'!$H$4</c:f>
              <c:strCache>
                <c:ptCount val="1"/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'Background Calcs'!$H$5:$H$16</c:f>
              <c:numCache>
                <c:formatCode>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E06-4AB5-AD22-AA54C7B001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2722687"/>
        <c:axId val="1995681695"/>
      </c:barChart>
      <c:dateAx>
        <c:axId val="12722687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Franklin Gothic Book" panose="020B0503020102020204" pitchFamily="34" charset="0"/>
                <a:ea typeface="+mn-ea"/>
                <a:cs typeface="+mn-cs"/>
              </a:defRPr>
            </a:pPr>
            <a:endParaRPr lang="en-US"/>
          </a:p>
        </c:txPr>
        <c:crossAx val="1995681695"/>
        <c:crosses val="autoZero"/>
        <c:auto val="1"/>
        <c:lblOffset val="100"/>
        <c:baseTimeUnit val="months"/>
      </c:dateAx>
      <c:valAx>
        <c:axId val="19956816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r>
                  <a:rPr lang="en-NZ" sz="1200" b="1" i="0" u="none" strike="noStrike" baseline="0">
                    <a:solidFill>
                      <a:sysClr val="windowText" lastClr="000000"/>
                    </a:solidFill>
                    <a:effectLst/>
                    <a:latin typeface="Franklin Gothic Book" panose="020B0503020102020204" pitchFamily="34" charset="0"/>
                  </a:rPr>
                  <a:t>Carbon Emissions (T CO</a:t>
                </a:r>
                <a:r>
                  <a:rPr lang="en-NZ" sz="1200" b="1" i="0" u="none" strike="noStrike" baseline="-25000">
                    <a:solidFill>
                      <a:sysClr val="windowText" lastClr="000000"/>
                    </a:solidFill>
                    <a:effectLst/>
                    <a:latin typeface="Franklin Gothic Book" panose="020B0503020102020204" pitchFamily="34" charset="0"/>
                  </a:rPr>
                  <a:t>2</a:t>
                </a:r>
                <a:r>
                  <a:rPr lang="en-NZ" sz="1200" b="1" i="0" u="none" strike="noStrike" baseline="0">
                    <a:solidFill>
                      <a:sysClr val="windowText" lastClr="000000"/>
                    </a:solidFill>
                    <a:effectLst/>
                    <a:latin typeface="Franklin Gothic Book" panose="020B0503020102020204" pitchFamily="34" charset="0"/>
                  </a:rPr>
                  <a:t>-e)</a:t>
                </a:r>
                <a:endParaRPr lang="en-NZ" sz="1200" b="1">
                  <a:solidFill>
                    <a:sysClr val="windowText" lastClr="000000"/>
                  </a:solidFill>
                  <a:latin typeface="Franklin Gothic Book" panose="020B05030201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3.1910064543008175E-2"/>
              <c:y val="0.3470925654089249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Franklin Gothic Book" panose="020B05030201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Franklin Gothic Book" panose="020B0503020102020204" pitchFamily="34" charset="0"/>
                <a:ea typeface="+mn-ea"/>
                <a:cs typeface="+mn-cs"/>
              </a:defRPr>
            </a:pPr>
            <a:endParaRPr lang="en-US"/>
          </a:p>
        </c:txPr>
        <c:crossAx val="12722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852083613965048"/>
          <c:y val="0.25425472213214906"/>
          <c:w val="0.10141177142903793"/>
          <c:h val="0.5937329847186161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5.png"/><Relationship Id="rId5" Type="http://schemas.openxmlformats.org/officeDocument/2006/relationships/image" Target="../media/image3.svg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1271242</xdr:colOff>
      <xdr:row>1</xdr:row>
      <xdr:rowOff>9525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60F2CDC3-EE28-4729-9520-FF65F56DE3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2642842" cy="6381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1271242</xdr:colOff>
      <xdr:row>1</xdr:row>
      <xdr:rowOff>9525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F7FE7E76-FF15-4BCF-AC2F-724A8F6737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0" y="0"/>
          <a:ext cx="2642842" cy="638175"/>
        </a:xfrm>
        <a:prstGeom prst="rect">
          <a:avLst/>
        </a:prstGeom>
      </xdr:spPr>
    </xdr:pic>
    <xdr:clientData/>
  </xdr:twoCellAnchor>
  <xdr:twoCellAnchor editAs="oneCell">
    <xdr:from>
      <xdr:col>12</xdr:col>
      <xdr:colOff>1064100</xdr:colOff>
      <xdr:row>0</xdr:row>
      <xdr:rowOff>390525</xdr:rowOff>
    </xdr:from>
    <xdr:to>
      <xdr:col>14</xdr:col>
      <xdr:colOff>761999</xdr:colOff>
      <xdr:row>1</xdr:row>
      <xdr:rowOff>190500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9335D82-9BE0-D77E-D8E4-AA0E588DD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42050" y="390525"/>
          <a:ext cx="1983899" cy="428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20</xdr:col>
      <xdr:colOff>9525</xdr:colOff>
      <xdr:row>31</xdr:row>
      <xdr:rowOff>168088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18F1C37-7847-4648-8B4B-B4B5970409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65</xdr:row>
      <xdr:rowOff>81242</xdr:rowOff>
    </xdr:from>
    <xdr:to>
      <xdr:col>20</xdr:col>
      <xdr:colOff>0</xdr:colOff>
      <xdr:row>99</xdr:row>
      <xdr:rowOff>170330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11F225D-9370-4C6B-BB5F-A3515FD970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33</xdr:row>
      <xdr:rowOff>133351</xdr:rowOff>
    </xdr:from>
    <xdr:to>
      <xdr:col>20</xdr:col>
      <xdr:colOff>57150</xdr:colOff>
      <xdr:row>61</xdr:row>
      <xdr:rowOff>66675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DB5F32B-715F-407A-8C85-7A917A66B0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204442</xdr:colOff>
      <xdr:row>1</xdr:row>
      <xdr:rowOff>9525</xdr:rowOff>
    </xdr:to>
    <xdr:pic>
      <xdr:nvPicPr>
        <xdr:cNvPr id="8" name="Graphic 7">
          <a:extLst>
            <a:ext uri="{FF2B5EF4-FFF2-40B4-BE49-F238E27FC236}">
              <a16:creationId xmlns:a16="http://schemas.microsoft.com/office/drawing/2014/main" id="{928812AB-6D06-4B4A-B048-4D9A715FD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0" y="0"/>
          <a:ext cx="2642842" cy="638175"/>
        </a:xfrm>
        <a:prstGeom prst="rect">
          <a:avLst/>
        </a:prstGeom>
      </xdr:spPr>
    </xdr:pic>
    <xdr:clientData/>
  </xdr:twoCellAnchor>
  <xdr:twoCellAnchor editAs="oneCell">
    <xdr:from>
      <xdr:col>16</xdr:col>
      <xdr:colOff>161925</xdr:colOff>
      <xdr:row>0</xdr:row>
      <xdr:rowOff>400050</xdr:rowOff>
    </xdr:from>
    <xdr:to>
      <xdr:col>19</xdr:col>
      <xdr:colOff>314497</xdr:colOff>
      <xdr:row>1</xdr:row>
      <xdr:rowOff>198157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9AABB76-D33D-5888-4479-6070D8795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915525" y="400050"/>
          <a:ext cx="1981372" cy="4267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EECA Colour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317575"/>
      </a:accent1>
      <a:accent2>
        <a:srgbClr val="3A8C8A"/>
      </a:accent2>
      <a:accent3>
        <a:srgbClr val="47ABA9"/>
      </a:accent3>
      <a:accent4>
        <a:srgbClr val="6CC2C0"/>
      </a:accent4>
      <a:accent5>
        <a:srgbClr val="9ED6D5"/>
      </a:accent5>
      <a:accent6>
        <a:srgbClr val="B8E2E1"/>
      </a:accent6>
      <a:hlink>
        <a:srgbClr val="0070C0"/>
      </a:hlink>
      <a:folHlink>
        <a:srgbClr val="7030A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.bin"/><Relationship Id="rId3" Type="http://schemas.openxmlformats.org/officeDocument/2006/relationships/hyperlink" Target="https://www.azwood.co.nz/Industrial+Energy.html" TargetMode="External"/><Relationship Id="rId7" Type="http://schemas.openxmlformats.org/officeDocument/2006/relationships/hyperlink" Target="https://environment.govt.nz/guides/measuring-and-reporting-greenhouse-gas-emissions-guide-for-organisations/" TargetMode="External"/><Relationship Id="rId2" Type="http://schemas.openxmlformats.org/officeDocument/2006/relationships/hyperlink" Target="https://www.elgas.com.au/blog/389-lpg-conversions-kg-litres-mj-kwh-and-m3/" TargetMode="External"/><Relationship Id="rId1" Type="http://schemas.openxmlformats.org/officeDocument/2006/relationships/hyperlink" Target="https://www.elgas.com.au/blog/389-lpg-conversions-kg-litres-mj-kwh-and-m3/" TargetMode="External"/><Relationship Id="rId6" Type="http://schemas.openxmlformats.org/officeDocument/2006/relationships/hyperlink" Target="https://ir.canterbury.ac.nz/handle/10092/11527" TargetMode="External"/><Relationship Id="rId5" Type="http://schemas.openxmlformats.org/officeDocument/2006/relationships/hyperlink" Target="https://cliflo.niwa.co.nz/" TargetMode="External"/><Relationship Id="rId4" Type="http://schemas.openxmlformats.org/officeDocument/2006/relationships/hyperlink" Target="https://environment.govt.nz/guides/measuring-and-reporting-greenhouse-gas-emissions-guide-for-organisations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77"/>
  <sheetViews>
    <sheetView showGridLines="0" zoomScaleNormal="100" workbookViewId="0">
      <selection activeCell="A3" sqref="A3"/>
    </sheetView>
  </sheetViews>
  <sheetFormatPr defaultColWidth="0" defaultRowHeight="15" zeroHeight="1" x14ac:dyDescent="0.4"/>
  <cols>
    <col min="1" max="1" width="9.1796875" style="1" customWidth="1"/>
    <col min="2" max="2" width="11.453125" style="1" bestFit="1" customWidth="1"/>
    <col min="3" max="5" width="21.453125" style="1" customWidth="1"/>
    <col min="6" max="6" width="18.81640625" style="1" customWidth="1"/>
    <col min="7" max="7" width="20" style="1" customWidth="1"/>
    <col min="8" max="8" width="18.81640625" style="1" customWidth="1"/>
    <col min="9" max="14" width="17.1796875" style="1" customWidth="1"/>
    <col min="15" max="15" width="15.81640625" style="1" bestFit="1" customWidth="1"/>
    <col min="16" max="16" width="7.1796875" style="1" hidden="1" customWidth="1"/>
    <col min="17" max="17" width="12" style="1" hidden="1" customWidth="1"/>
    <col min="18" max="18" width="11.54296875" style="79" hidden="1" customWidth="1"/>
    <col min="19" max="20" width="7.1796875" style="1" hidden="1" customWidth="1"/>
    <col min="21" max="23" width="11.453125" style="1" hidden="1" customWidth="1"/>
    <col min="24" max="24" width="7.1796875" style="1" hidden="1" customWidth="1"/>
    <col min="25" max="25" width="11.54296875" style="1" hidden="1" customWidth="1"/>
    <col min="26" max="26" width="9.1796875" hidden="1" customWidth="1"/>
    <col min="27" max="27" width="9.1796875" style="1" hidden="1" customWidth="1"/>
    <col min="28" max="28" width="11.453125" style="1" hidden="1" customWidth="1"/>
    <col min="29" max="29" width="10.7265625" style="1" hidden="1" customWidth="1"/>
    <col min="30" max="32" width="9.1796875" style="1" hidden="1" customWidth="1"/>
    <col min="33" max="33" width="9.54296875" style="1" hidden="1" customWidth="1"/>
    <col min="34" max="39" width="9.1796875" style="1" hidden="1" customWidth="1"/>
    <col min="40" max="40" width="10" style="1" hidden="1" customWidth="1"/>
    <col min="41" max="41" width="9.1796875" style="1" hidden="1" customWidth="1"/>
    <col min="42" max="42" width="8.26953125" style="1" hidden="1" customWidth="1"/>
    <col min="43" max="43" width="6.7265625" style="1" hidden="1" customWidth="1"/>
    <col min="44" max="44" width="7.81640625" style="1" hidden="1" customWidth="1"/>
    <col min="45" max="45" width="8.453125" style="1" hidden="1" customWidth="1"/>
    <col min="46" max="46" width="10.26953125" style="1" hidden="1" customWidth="1"/>
    <col min="47" max="47" width="10.7265625" style="1" hidden="1" customWidth="1"/>
    <col min="48" max="48" width="12.453125" style="1" hidden="1" customWidth="1"/>
    <col min="49" max="50" width="10.81640625" style="1" hidden="1" customWidth="1"/>
    <col min="51" max="51" width="8.54296875" style="1" hidden="1" customWidth="1"/>
    <col min="52" max="52" width="12.1796875" style="1" hidden="1" customWidth="1"/>
    <col min="53" max="53" width="10.453125" style="1" hidden="1" customWidth="1"/>
    <col min="54" max="16384" width="9.1796875" style="1" hidden="1"/>
  </cols>
  <sheetData>
    <row r="1" spans="1:26" s="144" customFormat="1" ht="50.15" customHeight="1" x14ac:dyDescent="0.4">
      <c r="A1" s="143"/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</row>
    <row r="2" spans="1:26" s="146" customFormat="1" ht="45" customHeight="1" x14ac:dyDescent="0.35">
      <c r="A2" s="145" t="str">
        <f>"Energy Calculations for: "&amp;'Energy Calculator'!$C$12</f>
        <v xml:space="preserve">Energy Calculations for: </v>
      </c>
    </row>
    <row r="3" spans="1:26" x14ac:dyDescent="0.4">
      <c r="Z3" s="1"/>
    </row>
    <row r="4" spans="1:26" x14ac:dyDescent="0.4">
      <c r="Z4" s="1"/>
    </row>
    <row r="5" spans="1:26" ht="18.75" customHeight="1" x14ac:dyDescent="0.4">
      <c r="C5" s="97" t="s">
        <v>59</v>
      </c>
      <c r="D5" s="95"/>
      <c r="G5" s="153" t="s">
        <v>80</v>
      </c>
      <c r="H5" s="153"/>
      <c r="I5" s="153"/>
      <c r="J5" s="153"/>
      <c r="K5" s="153"/>
      <c r="L5" s="153"/>
      <c r="M5" s="153"/>
      <c r="N5" s="153"/>
      <c r="O5" s="100"/>
      <c r="P5" s="100"/>
      <c r="Z5" s="1"/>
    </row>
    <row r="6" spans="1:26" ht="18.75" customHeight="1" x14ac:dyDescent="0.4">
      <c r="C6" s="98" t="s">
        <v>60</v>
      </c>
      <c r="D6" s="96"/>
      <c r="G6" s="153"/>
      <c r="H6" s="153"/>
      <c r="I6" s="153"/>
      <c r="J6" s="153"/>
      <c r="K6" s="153"/>
      <c r="L6" s="153"/>
      <c r="M6" s="153"/>
      <c r="N6" s="153"/>
      <c r="O6" s="100"/>
      <c r="P6" s="100"/>
      <c r="Z6" s="1"/>
    </row>
    <row r="7" spans="1:26" ht="18.75" customHeight="1" x14ac:dyDescent="0.4">
      <c r="C7" s="99" t="s">
        <v>61</v>
      </c>
      <c r="D7" s="96"/>
      <c r="G7" s="153"/>
      <c r="H7" s="153"/>
      <c r="I7" s="153"/>
      <c r="J7" s="153"/>
      <c r="K7" s="153"/>
      <c r="L7" s="153"/>
      <c r="M7" s="153"/>
      <c r="N7" s="153"/>
      <c r="O7" s="100"/>
      <c r="P7" s="100"/>
      <c r="Z7" s="1"/>
    </row>
    <row r="8" spans="1:26" x14ac:dyDescent="0.4">
      <c r="G8" s="100"/>
      <c r="H8" s="100"/>
      <c r="I8" s="100"/>
      <c r="J8" s="100"/>
      <c r="K8" s="100"/>
      <c r="L8" s="100"/>
      <c r="M8" s="100"/>
      <c r="N8" s="100"/>
      <c r="Z8" s="1"/>
    </row>
    <row r="9" spans="1:26" x14ac:dyDescent="0.4">
      <c r="C9"/>
      <c r="D9"/>
      <c r="E9"/>
      <c r="G9" s="100"/>
      <c r="H9" s="100"/>
      <c r="I9" s="100"/>
      <c r="J9" s="100"/>
      <c r="K9" s="100"/>
      <c r="L9" s="100"/>
      <c r="Z9" s="1"/>
    </row>
    <row r="10" spans="1:26" ht="22.5" customHeight="1" x14ac:dyDescent="0.4">
      <c r="C10" s="147" t="s">
        <v>81</v>
      </c>
      <c r="D10" s="147"/>
      <c r="E10" s="147"/>
      <c r="F10" s="80"/>
    </row>
    <row r="11" spans="1:26" ht="18.75" customHeight="1" x14ac:dyDescent="0.4">
      <c r="C11" s="113" t="s">
        <v>62</v>
      </c>
      <c r="D11" s="115" t="s">
        <v>92</v>
      </c>
      <c r="E11" s="112" t="s">
        <v>37</v>
      </c>
    </row>
    <row r="12" spans="1:26" ht="33.75" customHeight="1" x14ac:dyDescent="0.4">
      <c r="B12" s="104"/>
      <c r="C12" s="111"/>
      <c r="D12" s="140"/>
      <c r="E12" s="114" t="s">
        <v>7</v>
      </c>
    </row>
    <row r="13" spans="1:26" x14ac:dyDescent="0.4">
      <c r="B13" s="81"/>
    </row>
    <row r="14" spans="1:26" x14ac:dyDescent="0.4">
      <c r="B14" s="81"/>
    </row>
    <row r="15" spans="1:26" ht="22.5" customHeight="1" x14ac:dyDescent="0.4">
      <c r="B15" s="81"/>
      <c r="C15" s="147" t="s">
        <v>82</v>
      </c>
      <c r="D15" s="147"/>
      <c r="E15" s="147"/>
    </row>
    <row r="16" spans="1:26" ht="15.75" customHeight="1" x14ac:dyDescent="0.4">
      <c r="B16" s="81"/>
      <c r="C16" s="1" t="s">
        <v>93</v>
      </c>
      <c r="D16" s="124"/>
      <c r="E16" s="105"/>
    </row>
    <row r="17" spans="2:18" x14ac:dyDescent="0.4">
      <c r="L17" s="79"/>
    </row>
    <row r="18" spans="2:18" ht="45" x14ac:dyDescent="0.4">
      <c r="C18" s="148" t="s">
        <v>14</v>
      </c>
      <c r="D18" s="149"/>
      <c r="E18" s="149"/>
      <c r="F18" s="149"/>
      <c r="G18" s="149"/>
      <c r="H18" s="149"/>
      <c r="I18" s="150"/>
      <c r="L18" s="132" t="s">
        <v>16</v>
      </c>
    </row>
    <row r="19" spans="2:18" ht="18.75" customHeight="1" x14ac:dyDescent="0.4">
      <c r="C19" s="106" t="s">
        <v>65</v>
      </c>
      <c r="D19" s="113" t="s">
        <v>66</v>
      </c>
      <c r="E19" s="136" t="s">
        <v>84</v>
      </c>
      <c r="F19" s="106" t="s">
        <v>17</v>
      </c>
      <c r="G19" s="106" t="s">
        <v>78</v>
      </c>
      <c r="H19" s="106" t="s">
        <v>79</v>
      </c>
      <c r="I19" s="108" t="s">
        <v>15</v>
      </c>
      <c r="L19" s="116" t="s">
        <v>53</v>
      </c>
    </row>
    <row r="20" spans="2:18" ht="18.75" customHeight="1" x14ac:dyDescent="0.4">
      <c r="C20" s="123"/>
      <c r="D20" s="151" t="s">
        <v>83</v>
      </c>
      <c r="E20" s="152"/>
      <c r="F20" s="109"/>
      <c r="G20" s="151" t="s">
        <v>86</v>
      </c>
      <c r="H20" s="152"/>
      <c r="I20" s="109"/>
      <c r="L20" s="117"/>
    </row>
    <row r="21" spans="2:18" ht="18.75" customHeight="1" x14ac:dyDescent="0.4">
      <c r="C21" s="107"/>
      <c r="D21" s="133" t="s">
        <v>85</v>
      </c>
      <c r="E21" s="134" t="s">
        <v>85</v>
      </c>
      <c r="F21" s="110"/>
      <c r="G21" s="135" t="s">
        <v>90</v>
      </c>
      <c r="H21" s="135" t="s">
        <v>9</v>
      </c>
      <c r="I21" s="110"/>
      <c r="L21" s="118"/>
    </row>
    <row r="22" spans="2:18" ht="18.75" customHeight="1" x14ac:dyDescent="0.4">
      <c r="B22" s="84">
        <f t="shared" ref="B22:B33" si="0">B45</f>
        <v>0</v>
      </c>
      <c r="C22" s="36"/>
      <c r="D22" s="36"/>
      <c r="E22" s="36"/>
      <c r="F22" s="36"/>
      <c r="G22" s="36"/>
      <c r="H22" s="36"/>
      <c r="I22" s="88" cm="1">
        <f t="array" ref="I22">C22 + IF($D$21="(GJ)",D22*Parameters!$C$4, D22) +_xlfn.IFS($E$21 ="(GJ)",E22*Parameters!$C$4,$E$21="(L)",E22*Parameters!$C$5,$E$21="(kg)",E22*Parameters!$C$6,1,E22) + F22*Parameters!$C$7 + G22*_xlfn.XLOOKUP($G$21,Parameters!$C$15:$F$15,Parameters!$C$16:$F$16) + H22*_xlfn.XLOOKUP($H$21,Parameters!$C$19:$G$19,Parameters!$C$21:$G$21)</f>
        <v>0</v>
      </c>
      <c r="J22" s="92"/>
      <c r="K22" s="94">
        <f t="shared" ref="K22:K33" si="1">B45</f>
        <v>0</v>
      </c>
      <c r="L22" s="126" cm="1">
        <f t="array" ref="L22">C22*Parameters!$C$10+ IF($D$21="(GJ)",D22*Parameters!$C$4, D22)*Parameters!$C$11+_xlfn.IFS($E$21 ="(GJ)",E22*Parameters!$C$4,$E$21="(L)",E22*Parameters!$C$5,$E$21="(kg)",E22*Parameters!$C$6,1,E22)*Parameters!$C$12+F22*Parameters!$C$7*Parameters!$C$13+G22*_xlfn.XLOOKUP($G$21,Parameters!$C$15:$F$15,Parameters!$C$17:$F$17)+H22*_xlfn.XLOOKUP($H$21,Parameters!$C$19:$G$19,Parameters!$C$22:$G$22)</f>
        <v>0</v>
      </c>
      <c r="Q22" s="79"/>
      <c r="R22" s="1"/>
    </row>
    <row r="23" spans="2:18" ht="18.75" customHeight="1" x14ac:dyDescent="0.4">
      <c r="B23" s="84">
        <f t="shared" si="0"/>
        <v>32</v>
      </c>
      <c r="C23" s="36"/>
      <c r="D23" s="36"/>
      <c r="E23" s="36"/>
      <c r="F23" s="36"/>
      <c r="G23" s="36"/>
      <c r="H23" s="36"/>
      <c r="I23" s="88" cm="1">
        <f t="array" ref="I23">C23 + IF($D$21="(GJ)",D23*Parameters!$C$4, D23) +_xlfn.IFS($E$21 ="(GJ)",E23*Parameters!$C$4,$E$21="(L)",E23*Parameters!$C$5,$E$21="(kg)",E23*Parameters!$C$6,1,E23) + F23*Parameters!$C$7 + G23*_xlfn.XLOOKUP($G$21,Parameters!$C$15:$F$15,Parameters!$C$16:$F$16) + H23*_xlfn.XLOOKUP($H$21,Parameters!$C$19:$G$19,Parameters!$C$21:$G$21)</f>
        <v>0</v>
      </c>
      <c r="J23" s="92"/>
      <c r="K23" s="94">
        <f t="shared" si="1"/>
        <v>32</v>
      </c>
      <c r="L23" s="126" cm="1">
        <f t="array" ref="L23">C23*Parameters!$C$10+ IF($D$21="(GJ)",D23*Parameters!$C$4, D23)*Parameters!$C$11+_xlfn.IFS($E$21 ="(GJ)",E23*Parameters!$C$4,$E$21="(L)",E23*Parameters!$C$5,$E$21="(kg)",E23*Parameters!$C$6,1,E23)*Parameters!$C$12+F23*Parameters!$C$7*Parameters!$C$13+G23*_xlfn.XLOOKUP($G$21,Parameters!$C$15:$F$15,Parameters!$C$17:$F$17)+H23*_xlfn.XLOOKUP($H$21,Parameters!$C$19:$G$19,Parameters!$C$22:$G$22)</f>
        <v>0</v>
      </c>
      <c r="Q23" s="79"/>
      <c r="R23" s="1"/>
    </row>
    <row r="24" spans="2:18" ht="18.75" customHeight="1" x14ac:dyDescent="0.4">
      <c r="B24" s="84">
        <f t="shared" si="0"/>
        <v>61</v>
      </c>
      <c r="C24" s="36"/>
      <c r="D24" s="36"/>
      <c r="E24" s="36"/>
      <c r="F24" s="36"/>
      <c r="G24" s="36"/>
      <c r="H24" s="36"/>
      <c r="I24" s="88" cm="1">
        <f t="array" ref="I24">C24 + IF($D$21="(GJ)",D24*Parameters!$C$4, D24) +_xlfn.IFS($E$21 ="(GJ)",E24*Parameters!$C$4,$E$21="(L)",E24*Parameters!$C$5,$E$21="(kg)",E24*Parameters!$C$6,1,E24) + F24*Parameters!$C$7 + G24*_xlfn.XLOOKUP($G$21,Parameters!$C$15:$F$15,Parameters!$C$16:$F$16) + H24*_xlfn.XLOOKUP($H$21,Parameters!$C$19:$G$19,Parameters!$C$21:$G$21)</f>
        <v>0</v>
      </c>
      <c r="J24" s="92"/>
      <c r="K24" s="94">
        <f t="shared" si="1"/>
        <v>61</v>
      </c>
      <c r="L24" s="126" cm="1">
        <f t="array" ref="L24">C24*Parameters!$C$10+ IF($D$21="(GJ)",D24*Parameters!$C$4, D24)*Parameters!$C$11+_xlfn.IFS($E$21 ="(GJ)",E24*Parameters!$C$4,$E$21="(L)",E24*Parameters!$C$5,$E$21="(kg)",E24*Parameters!$C$6,1,E24)*Parameters!$C$12+F24*Parameters!$C$7*Parameters!$C$13+G24*_xlfn.XLOOKUP($G$21,Parameters!$C$15:$F$15,Parameters!$C$17:$F$17)+H24*_xlfn.XLOOKUP($H$21,Parameters!$C$19:$G$19,Parameters!$C$22:$G$22)</f>
        <v>0</v>
      </c>
      <c r="Q24" s="79"/>
      <c r="R24" s="1"/>
    </row>
    <row r="25" spans="2:18" ht="18.75" customHeight="1" x14ac:dyDescent="0.4">
      <c r="B25" s="84">
        <f t="shared" si="0"/>
        <v>92</v>
      </c>
      <c r="C25" s="36"/>
      <c r="D25" s="36"/>
      <c r="E25" s="36"/>
      <c r="F25" s="36"/>
      <c r="G25" s="36"/>
      <c r="H25" s="36"/>
      <c r="I25" s="88" cm="1">
        <f t="array" ref="I25">C25 + IF($D$21="(GJ)",D25*Parameters!$C$4, D25) +_xlfn.IFS($E$21 ="(GJ)",E25*Parameters!$C$4,$E$21="(L)",E25*Parameters!$C$5,$E$21="(kg)",E25*Parameters!$C$6,1,E25) + F25*Parameters!$C$7 + G25*_xlfn.XLOOKUP($G$21,Parameters!$C$15:$F$15,Parameters!$C$16:$F$16) + H25*_xlfn.XLOOKUP($H$21,Parameters!$C$19:$G$19,Parameters!$C$21:$G$21)</f>
        <v>0</v>
      </c>
      <c r="J25" s="92"/>
      <c r="K25" s="94">
        <f t="shared" si="1"/>
        <v>92</v>
      </c>
      <c r="L25" s="126" cm="1">
        <f t="array" ref="L25">C25*Parameters!$C$10+ IF($D$21="(GJ)",D25*Parameters!$C$4, D25)*Parameters!$C$11+_xlfn.IFS($E$21 ="(GJ)",E25*Parameters!$C$4,$E$21="(L)",E25*Parameters!$C$5,$E$21="(kg)",E25*Parameters!$C$6,1,E25)*Parameters!$C$12+F25*Parameters!$C$7*Parameters!$C$13+G25*_xlfn.XLOOKUP($G$21,Parameters!$C$15:$F$15,Parameters!$C$17:$F$17)+H25*_xlfn.XLOOKUP($H$21,Parameters!$C$19:$G$19,Parameters!$C$22:$G$22)</f>
        <v>0</v>
      </c>
      <c r="Q25" s="79"/>
      <c r="R25" s="1"/>
    </row>
    <row r="26" spans="2:18" ht="18.75" customHeight="1" x14ac:dyDescent="0.4">
      <c r="B26" s="84">
        <f t="shared" si="0"/>
        <v>122</v>
      </c>
      <c r="C26" s="36"/>
      <c r="D26" s="36"/>
      <c r="E26" s="36"/>
      <c r="F26" s="36"/>
      <c r="G26" s="36"/>
      <c r="H26" s="36"/>
      <c r="I26" s="88" cm="1">
        <f t="array" ref="I26">C26 + IF($D$21="(GJ)",D26*Parameters!$C$4, D26) +_xlfn.IFS($E$21 ="(GJ)",E26*Parameters!$C$4,$E$21="(L)",E26*Parameters!$C$5,$E$21="(kg)",E26*Parameters!$C$6,1,E26) + F26*Parameters!$C$7 + G26*_xlfn.XLOOKUP($G$21,Parameters!$C$15:$F$15,Parameters!$C$16:$F$16) + H26*_xlfn.XLOOKUP($H$21,Parameters!$C$19:$G$19,Parameters!$C$21:$G$21)</f>
        <v>0</v>
      </c>
      <c r="J26" s="92"/>
      <c r="K26" s="94">
        <f t="shared" si="1"/>
        <v>122</v>
      </c>
      <c r="L26" s="126" cm="1">
        <f t="array" ref="L26">C26*Parameters!$C$10+ IF($D$21="(GJ)",D26*Parameters!$C$4, D26)*Parameters!$C$11+_xlfn.IFS($E$21 ="(GJ)",E26*Parameters!$C$4,$E$21="(L)",E26*Parameters!$C$5,$E$21="(kg)",E26*Parameters!$C$6,1,E26)*Parameters!$C$12+F26*Parameters!$C$7*Parameters!$C$13+G26*_xlfn.XLOOKUP($G$21,Parameters!$C$15:$F$15,Parameters!$C$17:$F$17)+H26*_xlfn.XLOOKUP($H$21,Parameters!$C$19:$G$19,Parameters!$C$22:$G$22)</f>
        <v>0</v>
      </c>
      <c r="Q26" s="79"/>
      <c r="R26" s="1"/>
    </row>
    <row r="27" spans="2:18" ht="18.75" customHeight="1" x14ac:dyDescent="0.4">
      <c r="B27" s="84">
        <f t="shared" si="0"/>
        <v>153</v>
      </c>
      <c r="C27" s="36"/>
      <c r="D27" s="36"/>
      <c r="E27" s="36"/>
      <c r="F27" s="36"/>
      <c r="G27" s="36"/>
      <c r="H27" s="36"/>
      <c r="I27" s="88" cm="1">
        <f t="array" ref="I27">C27 + IF($D$21="(GJ)",D27*Parameters!$C$4, D27) +_xlfn.IFS($E$21 ="(GJ)",E27*Parameters!$C$4,$E$21="(L)",E27*Parameters!$C$5,$E$21="(kg)",E27*Parameters!$C$6,1,E27) + F27*Parameters!$C$7 + G27*_xlfn.XLOOKUP($G$21,Parameters!$C$15:$F$15,Parameters!$C$16:$F$16) + H27*_xlfn.XLOOKUP($H$21,Parameters!$C$19:$G$19,Parameters!$C$21:$G$21)</f>
        <v>0</v>
      </c>
      <c r="J27" s="92"/>
      <c r="K27" s="94">
        <f t="shared" si="1"/>
        <v>153</v>
      </c>
      <c r="L27" s="126" cm="1">
        <f t="array" ref="L27">C27*Parameters!$C$10+ IF($D$21="(GJ)",D27*Parameters!$C$4, D27)*Parameters!$C$11+_xlfn.IFS($E$21 ="(GJ)",E27*Parameters!$C$4,$E$21="(L)",E27*Parameters!$C$5,$E$21="(kg)",E27*Parameters!$C$6,1,E27)*Parameters!$C$12+F27*Parameters!$C$7*Parameters!$C$13+G27*_xlfn.XLOOKUP($G$21,Parameters!$C$15:$F$15,Parameters!$C$17:$F$17)+H27*_xlfn.XLOOKUP($H$21,Parameters!$C$19:$G$19,Parameters!$C$22:$G$22)</f>
        <v>0</v>
      </c>
      <c r="Q27" s="79"/>
      <c r="R27" s="1"/>
    </row>
    <row r="28" spans="2:18" ht="18.75" customHeight="1" x14ac:dyDescent="0.4">
      <c r="B28" s="84">
        <f t="shared" si="0"/>
        <v>183</v>
      </c>
      <c r="C28" s="36"/>
      <c r="D28" s="36"/>
      <c r="E28" s="36"/>
      <c r="F28" s="36"/>
      <c r="G28" s="36"/>
      <c r="H28" s="36"/>
      <c r="I28" s="88" cm="1">
        <f t="array" ref="I28">C28 + IF($D$21="(GJ)",D28*Parameters!$C$4, D28) +_xlfn.IFS($E$21 ="(GJ)",E28*Parameters!$C$4,$E$21="(L)",E28*Parameters!$C$5,$E$21="(kg)",E28*Parameters!$C$6,1,E28) + F28*Parameters!$C$7 + G28*_xlfn.XLOOKUP($G$21,Parameters!$C$15:$F$15,Parameters!$C$16:$F$16) + H28*_xlfn.XLOOKUP($H$21,Parameters!$C$19:$G$19,Parameters!$C$21:$G$21)</f>
        <v>0</v>
      </c>
      <c r="J28" s="92"/>
      <c r="K28" s="94">
        <f t="shared" si="1"/>
        <v>183</v>
      </c>
      <c r="L28" s="126" cm="1">
        <f t="array" ref="L28">C28*Parameters!$C$10+ IF($D$21="(GJ)",D28*Parameters!$C$4, D28)*Parameters!$C$11+_xlfn.IFS($E$21 ="(GJ)",E28*Parameters!$C$4,$E$21="(L)",E28*Parameters!$C$5,$E$21="(kg)",E28*Parameters!$C$6,1,E28)*Parameters!$C$12+F28*Parameters!$C$7*Parameters!$C$13+G28*_xlfn.XLOOKUP($G$21,Parameters!$C$15:$F$15,Parameters!$C$17:$F$17)+H28*_xlfn.XLOOKUP($H$21,Parameters!$C$19:$G$19,Parameters!$C$22:$G$22)</f>
        <v>0</v>
      </c>
      <c r="Q28" s="79"/>
      <c r="R28" s="1"/>
    </row>
    <row r="29" spans="2:18" ht="18.75" customHeight="1" x14ac:dyDescent="0.4">
      <c r="B29" s="84">
        <f t="shared" si="0"/>
        <v>214</v>
      </c>
      <c r="C29" s="36"/>
      <c r="D29" s="36"/>
      <c r="E29" s="36"/>
      <c r="F29" s="36"/>
      <c r="G29" s="36"/>
      <c r="H29" s="36"/>
      <c r="I29" s="88" cm="1">
        <f t="array" ref="I29">C29 + IF($D$21="(GJ)",D29*Parameters!$C$4, D29) +_xlfn.IFS($E$21 ="(GJ)",E29*Parameters!$C$4,$E$21="(L)",E29*Parameters!$C$5,$E$21="(kg)",E29*Parameters!$C$6,1,E29) + F29*Parameters!$C$7 + G29*_xlfn.XLOOKUP($G$21,Parameters!$C$15:$F$15,Parameters!$C$16:$F$16) + H29*_xlfn.XLOOKUP($H$21,Parameters!$C$19:$G$19,Parameters!$C$21:$G$21)</f>
        <v>0</v>
      </c>
      <c r="J29" s="92"/>
      <c r="K29" s="94">
        <f t="shared" si="1"/>
        <v>214</v>
      </c>
      <c r="L29" s="126" cm="1">
        <f t="array" ref="L29">C29*Parameters!$C$10+ IF($D$21="(GJ)",D29*Parameters!$C$4, D29)*Parameters!$C$11+_xlfn.IFS($E$21 ="(GJ)",E29*Parameters!$C$4,$E$21="(L)",E29*Parameters!$C$5,$E$21="(kg)",E29*Parameters!$C$6,1,E29)*Parameters!$C$12+F29*Parameters!$C$7*Parameters!$C$13+G29*_xlfn.XLOOKUP($G$21,Parameters!$C$15:$F$15,Parameters!$C$17:$F$17)+H29*_xlfn.XLOOKUP($H$21,Parameters!$C$19:$G$19,Parameters!$C$22:$G$22)</f>
        <v>0</v>
      </c>
      <c r="Q29" s="79"/>
      <c r="R29" s="1"/>
    </row>
    <row r="30" spans="2:18" ht="18.75" customHeight="1" x14ac:dyDescent="0.4">
      <c r="B30" s="84">
        <f t="shared" si="0"/>
        <v>245</v>
      </c>
      <c r="C30" s="36"/>
      <c r="D30" s="36"/>
      <c r="E30" s="36"/>
      <c r="F30" s="36"/>
      <c r="G30" s="36"/>
      <c r="H30" s="36"/>
      <c r="I30" s="88" cm="1">
        <f t="array" ref="I30">C30 + IF($D$21="(GJ)",D30*Parameters!$C$4, D30) +_xlfn.IFS($E$21 ="(GJ)",E30*Parameters!$C$4,$E$21="(L)",E30*Parameters!$C$5,$E$21="(kg)",E30*Parameters!$C$6,1,E30) + F30*Parameters!$C$7 + G30*_xlfn.XLOOKUP($G$21,Parameters!$C$15:$F$15,Parameters!$C$16:$F$16) + H30*_xlfn.XLOOKUP($H$21,Parameters!$C$19:$G$19,Parameters!$C$21:$G$21)</f>
        <v>0</v>
      </c>
      <c r="J30" s="92"/>
      <c r="K30" s="94">
        <f t="shared" si="1"/>
        <v>245</v>
      </c>
      <c r="L30" s="126" cm="1">
        <f t="array" ref="L30">C30*Parameters!$C$10+ IF($D$21="(GJ)",D30*Parameters!$C$4, D30)*Parameters!$C$11+_xlfn.IFS($E$21 ="(GJ)",E30*Parameters!$C$4,$E$21="(L)",E30*Parameters!$C$5,$E$21="(kg)",E30*Parameters!$C$6,1,E30)*Parameters!$C$12+F30*Parameters!$C$7*Parameters!$C$13+G30*_xlfn.XLOOKUP($G$21,Parameters!$C$15:$F$15,Parameters!$C$17:$F$17)+H30*_xlfn.XLOOKUP($H$21,Parameters!$C$19:$G$19,Parameters!$C$22:$G$22)</f>
        <v>0</v>
      </c>
      <c r="Q30" s="79"/>
      <c r="R30" s="1"/>
    </row>
    <row r="31" spans="2:18" ht="18.75" customHeight="1" x14ac:dyDescent="0.4">
      <c r="B31" s="84">
        <f t="shared" si="0"/>
        <v>275</v>
      </c>
      <c r="C31" s="36"/>
      <c r="D31" s="36"/>
      <c r="E31" s="36"/>
      <c r="F31" s="36"/>
      <c r="G31" s="36"/>
      <c r="H31" s="36"/>
      <c r="I31" s="88" cm="1">
        <f t="array" ref="I31">C31 + IF($D$21="(GJ)",D31*Parameters!$C$4, D31) +_xlfn.IFS($E$21 ="(GJ)",E31*Parameters!$C$4,$E$21="(L)",E31*Parameters!$C$5,$E$21="(kg)",E31*Parameters!$C$6,1,E31) + F31*Parameters!$C$7 + G31*_xlfn.XLOOKUP($G$21,Parameters!$C$15:$F$15,Parameters!$C$16:$F$16) + H31*_xlfn.XLOOKUP($H$21,Parameters!$C$19:$G$19,Parameters!$C$21:$G$21)</f>
        <v>0</v>
      </c>
      <c r="J31" s="92"/>
      <c r="K31" s="94">
        <f t="shared" si="1"/>
        <v>275</v>
      </c>
      <c r="L31" s="126" cm="1">
        <f t="array" ref="L31">C31*Parameters!$C$10+ IF($D$21="(GJ)",D31*Parameters!$C$4, D31)*Parameters!$C$11+_xlfn.IFS($E$21 ="(GJ)",E31*Parameters!$C$4,$E$21="(L)",E31*Parameters!$C$5,$E$21="(kg)",E31*Parameters!$C$6,1,E31)*Parameters!$C$12+F31*Parameters!$C$7*Parameters!$C$13+G31*_xlfn.XLOOKUP($G$21,Parameters!$C$15:$F$15,Parameters!$C$17:$F$17)+H31*_xlfn.XLOOKUP($H$21,Parameters!$C$19:$G$19,Parameters!$C$22:$G$22)</f>
        <v>0</v>
      </c>
      <c r="Q31" s="79"/>
      <c r="R31" s="1"/>
    </row>
    <row r="32" spans="2:18" ht="18.75" customHeight="1" x14ac:dyDescent="0.4">
      <c r="B32" s="84">
        <f t="shared" si="0"/>
        <v>306</v>
      </c>
      <c r="C32" s="36"/>
      <c r="D32" s="36"/>
      <c r="E32" s="36"/>
      <c r="F32" s="36"/>
      <c r="G32" s="36"/>
      <c r="H32" s="36"/>
      <c r="I32" s="88" cm="1">
        <f t="array" ref="I32">C32 + IF($D$21="(GJ)",D32*Parameters!$C$4, D32) +_xlfn.IFS($E$21 ="(GJ)",E32*Parameters!$C$4,$E$21="(L)",E32*Parameters!$C$5,$E$21="(kg)",E32*Parameters!$C$6,1,E32) + F32*Parameters!$C$7 + G32*_xlfn.XLOOKUP($G$21,Parameters!$C$15:$F$15,Parameters!$C$16:$F$16) + H32*_xlfn.XLOOKUP($H$21,Parameters!$C$19:$G$19,Parameters!$C$21:$G$21)</f>
        <v>0</v>
      </c>
      <c r="J32" s="92"/>
      <c r="K32" s="94">
        <f t="shared" si="1"/>
        <v>306</v>
      </c>
      <c r="L32" s="126" cm="1">
        <f t="array" ref="L32">C32*Parameters!$C$10+ IF($D$21="(GJ)",D32*Parameters!$C$4, D32)*Parameters!$C$11+_xlfn.IFS($E$21 ="(GJ)",E32*Parameters!$C$4,$E$21="(L)",E32*Parameters!$C$5,$E$21="(kg)",E32*Parameters!$C$6,1,E32)*Parameters!$C$12+F32*Parameters!$C$7*Parameters!$C$13+G32*_xlfn.XLOOKUP($G$21,Parameters!$C$15:$F$15,Parameters!$C$17:$F$17)+H32*_xlfn.XLOOKUP($H$21,Parameters!$C$19:$G$19,Parameters!$C$22:$G$22)</f>
        <v>0</v>
      </c>
      <c r="Q32" s="79"/>
      <c r="R32" s="1"/>
    </row>
    <row r="33" spans="2:26" ht="18.75" customHeight="1" x14ac:dyDescent="0.4">
      <c r="B33" s="84">
        <f t="shared" si="0"/>
        <v>336</v>
      </c>
      <c r="C33" s="36"/>
      <c r="D33" s="36"/>
      <c r="E33" s="36"/>
      <c r="F33" s="36"/>
      <c r="G33" s="36"/>
      <c r="H33" s="36"/>
      <c r="I33" s="88" cm="1">
        <f t="array" ref="I33">C33 + IF($D$21="(GJ)",D33*Parameters!$C$4, D33) +_xlfn.IFS($E$21 ="(GJ)",E33*Parameters!$C$4,$E$21="(L)",E33*Parameters!$C$5,$E$21="(kg)",E33*Parameters!$C$6,1,E33) + F33*Parameters!$C$7 + G33*_xlfn.XLOOKUP($G$21,Parameters!$C$15:$F$15,Parameters!$C$16:$F$16) + H33*_xlfn.XLOOKUP($H$21,Parameters!$C$19:$G$19,Parameters!$C$21:$G$21)</f>
        <v>0</v>
      </c>
      <c r="J33" s="92"/>
      <c r="K33" s="91">
        <f t="shared" si="1"/>
        <v>336</v>
      </c>
      <c r="L33" s="126" cm="1">
        <f t="array" ref="L33">C33*Parameters!$C$10+ IF($D$21="(GJ)",D33*Parameters!$C$4, D33)*Parameters!$C$11+_xlfn.IFS($E$21 ="(GJ)",E33*Parameters!$C$4,$E$21="(L)",E33*Parameters!$C$5,$E$21="(kg)",E33*Parameters!$C$6,1,E33)*Parameters!$C$12+F33*Parameters!$C$7*Parameters!$C$13+G33*_xlfn.XLOOKUP($G$21,Parameters!$C$15:$F$15,Parameters!$C$17:$F$17)+H33*_xlfn.XLOOKUP($H$21,Parameters!$C$19:$G$19,Parameters!$C$22:$G$22)</f>
        <v>0</v>
      </c>
      <c r="Q33" s="79"/>
      <c r="R33" s="1"/>
    </row>
    <row r="34" spans="2:26" ht="18.75" customHeight="1" x14ac:dyDescent="0.4">
      <c r="B34" s="93" t="s">
        <v>0</v>
      </c>
      <c r="C34" s="88">
        <f>SUM(C22:C33)</f>
        <v>0</v>
      </c>
      <c r="D34" s="88">
        <f>SUM(D22:D33)</f>
        <v>0</v>
      </c>
      <c r="E34" s="88">
        <f>SUM(E22:E33)</f>
        <v>0</v>
      </c>
      <c r="F34" s="88">
        <f t="shared" ref="F34:I34" si="2">SUM(F22:F33)</f>
        <v>0</v>
      </c>
      <c r="G34" s="88">
        <f>SUM(G22:G33)</f>
        <v>0</v>
      </c>
      <c r="H34" s="88">
        <f>SUM(H22:H33)</f>
        <v>0</v>
      </c>
      <c r="I34" s="88">
        <f t="shared" si="2"/>
        <v>0</v>
      </c>
      <c r="J34" s="92"/>
      <c r="K34" s="93" t="s">
        <v>0</v>
      </c>
      <c r="L34" s="126">
        <f>SUM(L22:L33)</f>
        <v>0</v>
      </c>
      <c r="Z34" s="1"/>
    </row>
    <row r="35" spans="2:26" x14ac:dyDescent="0.4">
      <c r="H35" s="85"/>
      <c r="I35" s="87"/>
      <c r="J35" s="87"/>
      <c r="K35" s="87"/>
      <c r="L35" s="87"/>
      <c r="M35" s="87"/>
      <c r="N35" s="87"/>
      <c r="O35" s="87"/>
      <c r="R35" s="90"/>
      <c r="U35" s="85"/>
      <c r="V35" s="87"/>
      <c r="W35" s="87"/>
      <c r="Y35" s="85"/>
      <c r="Z35" s="1"/>
    </row>
    <row r="36" spans="2:26" x14ac:dyDescent="0.4">
      <c r="H36" s="85"/>
      <c r="I36" s="87"/>
      <c r="J36" s="87"/>
      <c r="K36" s="87"/>
      <c r="L36" s="87"/>
      <c r="M36" s="87"/>
      <c r="N36" s="87"/>
      <c r="O36" s="87"/>
      <c r="R36" s="90"/>
      <c r="U36" s="85"/>
      <c r="V36" s="87"/>
      <c r="W36" s="87"/>
      <c r="Y36" s="85"/>
      <c r="Z36" s="1"/>
    </row>
    <row r="37" spans="2:26" x14ac:dyDescent="0.4">
      <c r="H37" s="85"/>
      <c r="I37" s="87"/>
      <c r="J37" s="87"/>
      <c r="K37" s="87"/>
      <c r="L37" s="87"/>
      <c r="M37" s="87"/>
      <c r="N37" s="87"/>
      <c r="O37" s="87"/>
      <c r="R37" s="90"/>
      <c r="U37" s="85"/>
      <c r="V37" s="87"/>
      <c r="W37" s="87"/>
      <c r="Y37" s="85"/>
      <c r="Z37" s="1"/>
    </row>
    <row r="38" spans="2:26" ht="30" customHeight="1" x14ac:dyDescent="0.4">
      <c r="B38" s="81"/>
      <c r="C38" s="148" t="s">
        <v>68</v>
      </c>
      <c r="D38" s="149"/>
      <c r="E38" s="149"/>
      <c r="F38" s="150"/>
    </row>
    <row r="39" spans="2:26" ht="45" x14ac:dyDescent="0.4">
      <c r="B39" s="82"/>
      <c r="C39" s="130" t="s">
        <v>1</v>
      </c>
      <c r="D39" s="130" t="s">
        <v>70</v>
      </c>
      <c r="E39" s="130" t="s">
        <v>67</v>
      </c>
      <c r="F39" s="131" t="s">
        <v>0</v>
      </c>
    </row>
    <row r="40" spans="2:26" ht="18.75" customHeight="1" x14ac:dyDescent="0.4">
      <c r="B40" s="81" t="s">
        <v>2</v>
      </c>
      <c r="C40" s="119"/>
      <c r="D40" s="119"/>
      <c r="E40" s="119"/>
      <c r="F40" s="120">
        <f>SUM(C40:E40)</f>
        <v>0</v>
      </c>
      <c r="I40" s="86"/>
      <c r="Z40" s="1"/>
    </row>
    <row r="41" spans="2:26" x14ac:dyDescent="0.4">
      <c r="I41" s="86"/>
      <c r="Z41" s="1"/>
    </row>
    <row r="42" spans="2:26" x14ac:dyDescent="0.4">
      <c r="Z42" s="1"/>
    </row>
    <row r="43" spans="2:26" ht="49.5" customHeight="1" x14ac:dyDescent="0.55000000000000004">
      <c r="C43" s="148" t="s">
        <v>69</v>
      </c>
      <c r="D43" s="149"/>
      <c r="E43" s="149"/>
      <c r="F43" s="150"/>
      <c r="H43" s="83"/>
      <c r="I43" s="141" t="s">
        <v>72</v>
      </c>
      <c r="J43" s="142"/>
      <c r="L43" s="83"/>
      <c r="M43" s="141" t="s">
        <v>73</v>
      </c>
      <c r="N43" s="142"/>
      <c r="O43" s="79"/>
      <c r="R43" s="1"/>
      <c r="Z43" s="1"/>
    </row>
    <row r="44" spans="2:26" ht="33.75" customHeight="1" x14ac:dyDescent="0.4">
      <c r="C44" s="122" t="s">
        <v>1</v>
      </c>
      <c r="D44" s="122" t="s">
        <v>71</v>
      </c>
      <c r="E44" s="122" t="s">
        <v>64</v>
      </c>
      <c r="F44" s="121" t="s">
        <v>0</v>
      </c>
      <c r="I44" s="129" t="s">
        <v>63</v>
      </c>
      <c r="J44" s="129" t="s">
        <v>76</v>
      </c>
      <c r="M44" s="129" t="s">
        <v>87</v>
      </c>
      <c r="N44" s="129" t="s">
        <v>77</v>
      </c>
      <c r="R44" s="1"/>
      <c r="Z44" s="1"/>
    </row>
    <row r="45" spans="2:26" ht="18.75" customHeight="1" x14ac:dyDescent="0.4">
      <c r="B45" s="84">
        <f>$D$12</f>
        <v>0</v>
      </c>
      <c r="C45" s="36"/>
      <c r="D45" s="36"/>
      <c r="E45" s="36"/>
      <c r="F45" s="88">
        <f>SUM(C45:E45)</f>
        <v>0</v>
      </c>
      <c r="H45" s="84">
        <f t="shared" ref="H45:H56" si="3">B45</f>
        <v>0</v>
      </c>
      <c r="I45" s="89">
        <f>IF(($C$40+$D$40)&gt;0,I22/($C$40+$D$40),0)</f>
        <v>0</v>
      </c>
      <c r="J45" s="89">
        <f>IF((C45+D45)&gt;0,I22/(C45+D45),0)</f>
        <v>0</v>
      </c>
      <c r="L45" s="84">
        <f t="shared" ref="L45:L56" si="4">B45</f>
        <v>0</v>
      </c>
      <c r="M45" s="103">
        <f>IF(($C$40+$D$40)&gt;0,L22/($C$40+$D$40),0)</f>
        <v>0</v>
      </c>
      <c r="N45" s="103">
        <f>IF((C45+D45)&gt;0,L22/(C45+D45),0)</f>
        <v>0</v>
      </c>
      <c r="R45" s="1"/>
      <c r="Z45" s="1"/>
    </row>
    <row r="46" spans="2:26" ht="18.75" customHeight="1" x14ac:dyDescent="0.4">
      <c r="B46" s="84">
        <f>DATE(YEAR(B45),MONTH(B45)+1,1)</f>
        <v>32</v>
      </c>
      <c r="C46" s="36"/>
      <c r="D46" s="36"/>
      <c r="E46" s="36"/>
      <c r="F46" s="88">
        <f t="shared" ref="F46:F56" si="5">SUM(C46:E46)</f>
        <v>0</v>
      </c>
      <c r="H46" s="84">
        <f t="shared" si="3"/>
        <v>32</v>
      </c>
      <c r="I46" s="89">
        <f t="shared" ref="I46:I56" si="6">IF(($C$40+$D$40)&gt;0,I23/($C$40+$D$40),0)</f>
        <v>0</v>
      </c>
      <c r="J46" s="89">
        <f t="shared" ref="J46:J56" si="7">IF((C46+D46)&gt;0,I23/(C46+D46),0)</f>
        <v>0</v>
      </c>
      <c r="L46" s="84">
        <f t="shared" si="4"/>
        <v>32</v>
      </c>
      <c r="M46" s="103">
        <f t="shared" ref="M46:M56" si="8">IF(($C$40+$D$40)&gt;0,L23/($C$40+$D$40),0)</f>
        <v>0</v>
      </c>
      <c r="N46" s="103">
        <f t="shared" ref="N46:N56" si="9">IF((C46+D46)&gt;0,L23/(C46+D46),0)</f>
        <v>0</v>
      </c>
      <c r="R46" s="1"/>
      <c r="Z46" s="1"/>
    </row>
    <row r="47" spans="2:26" ht="18.75" customHeight="1" x14ac:dyDescent="0.4">
      <c r="B47" s="84">
        <f t="shared" ref="B47:B56" si="10">DATE(YEAR(B46),MONTH(B46)+1,1)</f>
        <v>61</v>
      </c>
      <c r="C47" s="36"/>
      <c r="D47" s="36"/>
      <c r="E47" s="36"/>
      <c r="F47" s="88">
        <f t="shared" si="5"/>
        <v>0</v>
      </c>
      <c r="H47" s="84">
        <f t="shared" si="3"/>
        <v>61</v>
      </c>
      <c r="I47" s="89">
        <f t="shared" si="6"/>
        <v>0</v>
      </c>
      <c r="J47" s="89">
        <f t="shared" si="7"/>
        <v>0</v>
      </c>
      <c r="L47" s="84">
        <f t="shared" si="4"/>
        <v>61</v>
      </c>
      <c r="M47" s="103">
        <f t="shared" si="8"/>
        <v>0</v>
      </c>
      <c r="N47" s="103">
        <f t="shared" si="9"/>
        <v>0</v>
      </c>
      <c r="R47" s="1"/>
      <c r="Z47" s="1"/>
    </row>
    <row r="48" spans="2:26" ht="18.75" customHeight="1" x14ac:dyDescent="0.4">
      <c r="B48" s="84">
        <f t="shared" si="10"/>
        <v>92</v>
      </c>
      <c r="C48" s="36"/>
      <c r="D48" s="36"/>
      <c r="E48" s="36"/>
      <c r="F48" s="88">
        <f t="shared" si="5"/>
        <v>0</v>
      </c>
      <c r="H48" s="84">
        <f t="shared" si="3"/>
        <v>92</v>
      </c>
      <c r="I48" s="89">
        <f t="shared" si="6"/>
        <v>0</v>
      </c>
      <c r="J48" s="89">
        <f t="shared" si="7"/>
        <v>0</v>
      </c>
      <c r="L48" s="84">
        <f t="shared" si="4"/>
        <v>92</v>
      </c>
      <c r="M48" s="103">
        <f t="shared" si="8"/>
        <v>0</v>
      </c>
      <c r="N48" s="103">
        <f t="shared" si="9"/>
        <v>0</v>
      </c>
      <c r="R48" s="1"/>
      <c r="Z48" s="1"/>
    </row>
    <row r="49" spans="2:26" ht="18.75" customHeight="1" x14ac:dyDescent="0.4">
      <c r="B49" s="84">
        <f t="shared" si="10"/>
        <v>122</v>
      </c>
      <c r="C49" s="36"/>
      <c r="D49" s="36"/>
      <c r="E49" s="36"/>
      <c r="F49" s="88">
        <f t="shared" si="5"/>
        <v>0</v>
      </c>
      <c r="H49" s="84">
        <f t="shared" si="3"/>
        <v>122</v>
      </c>
      <c r="I49" s="89">
        <f t="shared" si="6"/>
        <v>0</v>
      </c>
      <c r="J49" s="89">
        <f t="shared" si="7"/>
        <v>0</v>
      </c>
      <c r="L49" s="84">
        <f t="shared" si="4"/>
        <v>122</v>
      </c>
      <c r="M49" s="103">
        <f t="shared" si="8"/>
        <v>0</v>
      </c>
      <c r="N49" s="103">
        <f t="shared" si="9"/>
        <v>0</v>
      </c>
      <c r="R49" s="1"/>
      <c r="Z49" s="1"/>
    </row>
    <row r="50" spans="2:26" ht="18.75" customHeight="1" x14ac:dyDescent="0.4">
      <c r="B50" s="84">
        <f t="shared" si="10"/>
        <v>153</v>
      </c>
      <c r="C50" s="36"/>
      <c r="D50" s="36"/>
      <c r="E50" s="36"/>
      <c r="F50" s="88">
        <f t="shared" si="5"/>
        <v>0</v>
      </c>
      <c r="H50" s="84">
        <f t="shared" si="3"/>
        <v>153</v>
      </c>
      <c r="I50" s="89">
        <f t="shared" si="6"/>
        <v>0</v>
      </c>
      <c r="J50" s="89">
        <f t="shared" si="7"/>
        <v>0</v>
      </c>
      <c r="L50" s="84">
        <f t="shared" si="4"/>
        <v>153</v>
      </c>
      <c r="M50" s="103">
        <f t="shared" si="8"/>
        <v>0</v>
      </c>
      <c r="N50" s="103">
        <f t="shared" si="9"/>
        <v>0</v>
      </c>
      <c r="R50" s="1"/>
      <c r="Z50" s="1"/>
    </row>
    <row r="51" spans="2:26" ht="18.75" customHeight="1" x14ac:dyDescent="0.4">
      <c r="B51" s="84">
        <f t="shared" si="10"/>
        <v>183</v>
      </c>
      <c r="C51" s="36"/>
      <c r="D51" s="36"/>
      <c r="E51" s="36"/>
      <c r="F51" s="88">
        <f t="shared" si="5"/>
        <v>0</v>
      </c>
      <c r="H51" s="84">
        <f t="shared" si="3"/>
        <v>183</v>
      </c>
      <c r="I51" s="89">
        <f t="shared" si="6"/>
        <v>0</v>
      </c>
      <c r="J51" s="89">
        <f t="shared" si="7"/>
        <v>0</v>
      </c>
      <c r="L51" s="84">
        <f t="shared" si="4"/>
        <v>183</v>
      </c>
      <c r="M51" s="103">
        <f t="shared" si="8"/>
        <v>0</v>
      </c>
      <c r="N51" s="103">
        <f t="shared" si="9"/>
        <v>0</v>
      </c>
      <c r="R51" s="1"/>
      <c r="Z51" s="1"/>
    </row>
    <row r="52" spans="2:26" ht="18.75" customHeight="1" x14ac:dyDescent="0.4">
      <c r="B52" s="84">
        <f t="shared" si="10"/>
        <v>214</v>
      </c>
      <c r="C52" s="36"/>
      <c r="D52" s="36"/>
      <c r="E52" s="36"/>
      <c r="F52" s="88">
        <f t="shared" si="5"/>
        <v>0</v>
      </c>
      <c r="H52" s="84">
        <f t="shared" si="3"/>
        <v>214</v>
      </c>
      <c r="I52" s="89">
        <f t="shared" si="6"/>
        <v>0</v>
      </c>
      <c r="J52" s="89">
        <f t="shared" si="7"/>
        <v>0</v>
      </c>
      <c r="L52" s="84">
        <f t="shared" si="4"/>
        <v>214</v>
      </c>
      <c r="M52" s="103">
        <f t="shared" si="8"/>
        <v>0</v>
      </c>
      <c r="N52" s="103">
        <f t="shared" si="9"/>
        <v>0</v>
      </c>
      <c r="R52" s="1"/>
      <c r="Z52" s="1"/>
    </row>
    <row r="53" spans="2:26" ht="18.75" customHeight="1" x14ac:dyDescent="0.4">
      <c r="B53" s="84">
        <f t="shared" si="10"/>
        <v>245</v>
      </c>
      <c r="C53" s="36"/>
      <c r="D53" s="36"/>
      <c r="E53" s="36"/>
      <c r="F53" s="88">
        <f t="shared" si="5"/>
        <v>0</v>
      </c>
      <c r="H53" s="84">
        <f t="shared" si="3"/>
        <v>245</v>
      </c>
      <c r="I53" s="89">
        <f t="shared" si="6"/>
        <v>0</v>
      </c>
      <c r="J53" s="89">
        <f t="shared" si="7"/>
        <v>0</v>
      </c>
      <c r="L53" s="84">
        <f t="shared" si="4"/>
        <v>245</v>
      </c>
      <c r="M53" s="103">
        <f t="shared" si="8"/>
        <v>0</v>
      </c>
      <c r="N53" s="103">
        <f t="shared" si="9"/>
        <v>0</v>
      </c>
      <c r="R53" s="1"/>
      <c r="Z53" s="1"/>
    </row>
    <row r="54" spans="2:26" ht="18.75" customHeight="1" x14ac:dyDescent="0.4">
      <c r="B54" s="84">
        <f t="shared" si="10"/>
        <v>275</v>
      </c>
      <c r="C54" s="36"/>
      <c r="D54" s="36"/>
      <c r="E54" s="36"/>
      <c r="F54" s="88">
        <f t="shared" si="5"/>
        <v>0</v>
      </c>
      <c r="H54" s="84">
        <f t="shared" si="3"/>
        <v>275</v>
      </c>
      <c r="I54" s="89">
        <f t="shared" si="6"/>
        <v>0</v>
      </c>
      <c r="J54" s="89">
        <f t="shared" si="7"/>
        <v>0</v>
      </c>
      <c r="L54" s="84">
        <f t="shared" si="4"/>
        <v>275</v>
      </c>
      <c r="M54" s="103">
        <f t="shared" si="8"/>
        <v>0</v>
      </c>
      <c r="N54" s="103">
        <f t="shared" si="9"/>
        <v>0</v>
      </c>
      <c r="R54" s="1"/>
      <c r="W54"/>
      <c r="Z54" s="1"/>
    </row>
    <row r="55" spans="2:26" ht="18.75" customHeight="1" x14ac:dyDescent="0.4">
      <c r="B55" s="84">
        <f t="shared" si="10"/>
        <v>306</v>
      </c>
      <c r="C55" s="36"/>
      <c r="D55" s="36"/>
      <c r="E55" s="36"/>
      <c r="F55" s="88">
        <f t="shared" si="5"/>
        <v>0</v>
      </c>
      <c r="H55" s="84">
        <f t="shared" si="3"/>
        <v>306</v>
      </c>
      <c r="I55" s="89">
        <f t="shared" si="6"/>
        <v>0</v>
      </c>
      <c r="J55" s="89">
        <f t="shared" si="7"/>
        <v>0</v>
      </c>
      <c r="L55" s="84">
        <f t="shared" si="4"/>
        <v>306</v>
      </c>
      <c r="M55" s="103">
        <f t="shared" si="8"/>
        <v>0</v>
      </c>
      <c r="N55" s="103">
        <f t="shared" si="9"/>
        <v>0</v>
      </c>
      <c r="R55" s="1"/>
      <c r="W55"/>
      <c r="Z55" s="1"/>
    </row>
    <row r="56" spans="2:26" ht="18.75" customHeight="1" x14ac:dyDescent="0.4">
      <c r="B56" s="84">
        <f t="shared" si="10"/>
        <v>336</v>
      </c>
      <c r="C56" s="36"/>
      <c r="D56" s="36"/>
      <c r="E56" s="36"/>
      <c r="F56" s="88">
        <f t="shared" si="5"/>
        <v>0</v>
      </c>
      <c r="H56" s="91">
        <f t="shared" si="3"/>
        <v>336</v>
      </c>
      <c r="I56" s="89">
        <f t="shared" si="6"/>
        <v>0</v>
      </c>
      <c r="J56" s="89">
        <f t="shared" si="7"/>
        <v>0</v>
      </c>
      <c r="L56" s="91">
        <f t="shared" si="4"/>
        <v>336</v>
      </c>
      <c r="M56" s="103">
        <f t="shared" si="8"/>
        <v>0</v>
      </c>
      <c r="N56" s="103">
        <f t="shared" si="9"/>
        <v>0</v>
      </c>
      <c r="R56" s="1"/>
      <c r="W56"/>
      <c r="Z56" s="1"/>
    </row>
    <row r="57" spans="2:26" ht="18.75" customHeight="1" x14ac:dyDescent="0.4">
      <c r="B57" s="93" t="s">
        <v>18</v>
      </c>
      <c r="C57" s="127">
        <f>IFERROR(AVERAGE(C45:C56),0)</f>
        <v>0</v>
      </c>
      <c r="D57" s="127">
        <f>IFERROR(AVERAGE(D45:D56),0)</f>
        <v>0</v>
      </c>
      <c r="E57" s="127">
        <f>IFERROR(AVERAGE(E45:E56),0)</f>
        <v>0</v>
      </c>
      <c r="F57" s="127">
        <f>AVERAGE(F45:F56)</f>
        <v>0</v>
      </c>
      <c r="H57" s="85" t="s">
        <v>18</v>
      </c>
      <c r="I57" s="125">
        <f>IFERROR(AVERAGE(I45:I56),0)</f>
        <v>0</v>
      </c>
      <c r="J57" s="125">
        <f>IFERROR(AVERAGE(J45:J56),0)</f>
        <v>0</v>
      </c>
      <c r="L57" s="85" t="s">
        <v>18</v>
      </c>
      <c r="M57" s="128">
        <f>IFERROR(AVERAGE(M45:M56),0)</f>
        <v>0</v>
      </c>
      <c r="N57" s="128">
        <f>IFERROR(AVERAGE(N45:N56),0)</f>
        <v>0</v>
      </c>
      <c r="R57" s="1"/>
      <c r="W57"/>
      <c r="Z57" s="1"/>
    </row>
    <row r="58" spans="2:26" x14ac:dyDescent="0.4"/>
    <row r="59" spans="2:26" x14ac:dyDescent="0.4"/>
    <row r="60" spans="2:26" ht="49.5" customHeight="1" x14ac:dyDescent="0.55000000000000004">
      <c r="H60" s="83"/>
      <c r="I60" s="141" t="s">
        <v>74</v>
      </c>
      <c r="J60" s="142"/>
      <c r="L60" s="83"/>
      <c r="M60" s="141" t="s">
        <v>75</v>
      </c>
      <c r="N60" s="142"/>
    </row>
    <row r="61" spans="2:26" ht="33.75" customHeight="1" x14ac:dyDescent="0.4">
      <c r="I61" s="129" t="s">
        <v>63</v>
      </c>
      <c r="J61" s="129" t="s">
        <v>76</v>
      </c>
      <c r="M61" s="129" t="s">
        <v>87</v>
      </c>
      <c r="N61" s="129" t="s">
        <v>77</v>
      </c>
    </row>
    <row r="62" spans="2:26" ht="18.75" customHeight="1" x14ac:dyDescent="0.4">
      <c r="H62" s="84">
        <f t="shared" ref="H62:H73" si="11">B45</f>
        <v>0</v>
      </c>
      <c r="I62" s="89">
        <f t="shared" ref="I62:I73" si="12">IF($F$40&gt;0,I22/($F$40),0)</f>
        <v>0</v>
      </c>
      <c r="J62" s="89">
        <f t="shared" ref="J62:J73" si="13">IF(F45&gt;0,I22/F45,0)</f>
        <v>0</v>
      </c>
      <c r="L62" s="84">
        <f t="shared" ref="L62:L73" si="14">B45</f>
        <v>0</v>
      </c>
      <c r="M62" s="103">
        <f>IF($F$40&gt;0,L22/$F$40,0)</f>
        <v>0</v>
      </c>
      <c r="N62" s="103">
        <f>IF(F45&gt;0,L22/F45,0)</f>
        <v>0</v>
      </c>
    </row>
    <row r="63" spans="2:26" ht="18.75" customHeight="1" x14ac:dyDescent="0.4">
      <c r="H63" s="84">
        <f t="shared" si="11"/>
        <v>32</v>
      </c>
      <c r="I63" s="89">
        <f t="shared" si="12"/>
        <v>0</v>
      </c>
      <c r="J63" s="89">
        <f t="shared" si="13"/>
        <v>0</v>
      </c>
      <c r="L63" s="84">
        <f t="shared" si="14"/>
        <v>32</v>
      </c>
      <c r="M63" s="103">
        <f t="shared" ref="M63:M73" si="15">IF($F$40&gt;0,L23/$F$40,0)</f>
        <v>0</v>
      </c>
      <c r="N63" s="103">
        <f t="shared" ref="N63:N73" si="16">IF(F46&gt;0,L23/F46,0)</f>
        <v>0</v>
      </c>
    </row>
    <row r="64" spans="2:26" ht="18.75" customHeight="1" x14ac:dyDescent="0.4">
      <c r="H64" s="84">
        <f t="shared" si="11"/>
        <v>61</v>
      </c>
      <c r="I64" s="89">
        <f t="shared" si="12"/>
        <v>0</v>
      </c>
      <c r="J64" s="89">
        <f t="shared" si="13"/>
        <v>0</v>
      </c>
      <c r="L64" s="84">
        <f t="shared" si="14"/>
        <v>61</v>
      </c>
      <c r="M64" s="103">
        <f t="shared" si="15"/>
        <v>0</v>
      </c>
      <c r="N64" s="103">
        <f t="shared" si="16"/>
        <v>0</v>
      </c>
    </row>
    <row r="65" spans="8:14" ht="18.75" customHeight="1" x14ac:dyDescent="0.4">
      <c r="H65" s="84">
        <f t="shared" si="11"/>
        <v>92</v>
      </c>
      <c r="I65" s="89">
        <f t="shared" si="12"/>
        <v>0</v>
      </c>
      <c r="J65" s="89">
        <f t="shared" si="13"/>
        <v>0</v>
      </c>
      <c r="L65" s="84">
        <f t="shared" si="14"/>
        <v>92</v>
      </c>
      <c r="M65" s="103">
        <f t="shared" si="15"/>
        <v>0</v>
      </c>
      <c r="N65" s="103">
        <f t="shared" si="16"/>
        <v>0</v>
      </c>
    </row>
    <row r="66" spans="8:14" ht="18.75" customHeight="1" x14ac:dyDescent="0.4">
      <c r="H66" s="84">
        <f t="shared" si="11"/>
        <v>122</v>
      </c>
      <c r="I66" s="89">
        <f t="shared" si="12"/>
        <v>0</v>
      </c>
      <c r="J66" s="89">
        <f t="shared" si="13"/>
        <v>0</v>
      </c>
      <c r="L66" s="84">
        <f t="shared" si="14"/>
        <v>122</v>
      </c>
      <c r="M66" s="103">
        <f t="shared" si="15"/>
        <v>0</v>
      </c>
      <c r="N66" s="103">
        <f t="shared" si="16"/>
        <v>0</v>
      </c>
    </row>
    <row r="67" spans="8:14" ht="18.75" customHeight="1" x14ac:dyDescent="0.4">
      <c r="H67" s="84">
        <f t="shared" si="11"/>
        <v>153</v>
      </c>
      <c r="I67" s="89">
        <f t="shared" si="12"/>
        <v>0</v>
      </c>
      <c r="J67" s="89">
        <f t="shared" si="13"/>
        <v>0</v>
      </c>
      <c r="L67" s="84">
        <f t="shared" si="14"/>
        <v>153</v>
      </c>
      <c r="M67" s="103">
        <f t="shared" si="15"/>
        <v>0</v>
      </c>
      <c r="N67" s="103">
        <f t="shared" si="16"/>
        <v>0</v>
      </c>
    </row>
    <row r="68" spans="8:14" ht="18.75" customHeight="1" x14ac:dyDescent="0.4">
      <c r="H68" s="84">
        <f t="shared" si="11"/>
        <v>183</v>
      </c>
      <c r="I68" s="89">
        <f t="shared" si="12"/>
        <v>0</v>
      </c>
      <c r="J68" s="89">
        <f t="shared" si="13"/>
        <v>0</v>
      </c>
      <c r="L68" s="84">
        <f t="shared" si="14"/>
        <v>183</v>
      </c>
      <c r="M68" s="103">
        <f t="shared" si="15"/>
        <v>0</v>
      </c>
      <c r="N68" s="103">
        <f t="shared" si="16"/>
        <v>0</v>
      </c>
    </row>
    <row r="69" spans="8:14" ht="18.75" customHeight="1" x14ac:dyDescent="0.4">
      <c r="H69" s="84">
        <f t="shared" si="11"/>
        <v>214</v>
      </c>
      <c r="I69" s="89">
        <f t="shared" si="12"/>
        <v>0</v>
      </c>
      <c r="J69" s="89">
        <f t="shared" si="13"/>
        <v>0</v>
      </c>
      <c r="L69" s="84">
        <f t="shared" si="14"/>
        <v>214</v>
      </c>
      <c r="M69" s="103">
        <f t="shared" si="15"/>
        <v>0</v>
      </c>
      <c r="N69" s="103">
        <f t="shared" si="16"/>
        <v>0</v>
      </c>
    </row>
    <row r="70" spans="8:14" ht="18.75" customHeight="1" x14ac:dyDescent="0.4">
      <c r="H70" s="84">
        <f t="shared" si="11"/>
        <v>245</v>
      </c>
      <c r="I70" s="89">
        <f t="shared" si="12"/>
        <v>0</v>
      </c>
      <c r="J70" s="89">
        <f t="shared" si="13"/>
        <v>0</v>
      </c>
      <c r="L70" s="84">
        <f t="shared" si="14"/>
        <v>245</v>
      </c>
      <c r="M70" s="103">
        <f t="shared" si="15"/>
        <v>0</v>
      </c>
      <c r="N70" s="103">
        <f t="shared" si="16"/>
        <v>0</v>
      </c>
    </row>
    <row r="71" spans="8:14" ht="18.75" customHeight="1" x14ac:dyDescent="0.4">
      <c r="H71" s="84">
        <f t="shared" si="11"/>
        <v>275</v>
      </c>
      <c r="I71" s="89">
        <f t="shared" si="12"/>
        <v>0</v>
      </c>
      <c r="J71" s="89">
        <f t="shared" si="13"/>
        <v>0</v>
      </c>
      <c r="L71" s="84">
        <f t="shared" si="14"/>
        <v>275</v>
      </c>
      <c r="M71" s="103">
        <f t="shared" si="15"/>
        <v>0</v>
      </c>
      <c r="N71" s="103">
        <f t="shared" si="16"/>
        <v>0</v>
      </c>
    </row>
    <row r="72" spans="8:14" ht="18.75" customHeight="1" x14ac:dyDescent="0.4">
      <c r="H72" s="84">
        <f t="shared" si="11"/>
        <v>306</v>
      </c>
      <c r="I72" s="89">
        <f t="shared" si="12"/>
        <v>0</v>
      </c>
      <c r="J72" s="89">
        <f t="shared" si="13"/>
        <v>0</v>
      </c>
      <c r="L72" s="84">
        <f t="shared" si="14"/>
        <v>306</v>
      </c>
      <c r="M72" s="103">
        <f t="shared" si="15"/>
        <v>0</v>
      </c>
      <c r="N72" s="103">
        <f t="shared" si="16"/>
        <v>0</v>
      </c>
    </row>
    <row r="73" spans="8:14" ht="18.75" customHeight="1" x14ac:dyDescent="0.4">
      <c r="H73" s="91">
        <f t="shared" si="11"/>
        <v>336</v>
      </c>
      <c r="I73" s="89">
        <f t="shared" si="12"/>
        <v>0</v>
      </c>
      <c r="J73" s="89">
        <f t="shared" si="13"/>
        <v>0</v>
      </c>
      <c r="L73" s="91">
        <f t="shared" si="14"/>
        <v>336</v>
      </c>
      <c r="M73" s="103">
        <f t="shared" si="15"/>
        <v>0</v>
      </c>
      <c r="N73" s="103">
        <f t="shared" si="16"/>
        <v>0</v>
      </c>
    </row>
    <row r="74" spans="8:14" ht="18.75" customHeight="1" x14ac:dyDescent="0.4">
      <c r="H74" s="85" t="s">
        <v>18</v>
      </c>
      <c r="I74" s="125">
        <f>IFERROR(AVERAGE(I62:I73),0)</f>
        <v>0</v>
      </c>
      <c r="J74" s="125">
        <f>IFERROR(AVERAGE(J62:J73),0)</f>
        <v>0</v>
      </c>
      <c r="K74" s="85"/>
      <c r="L74" s="85" t="s">
        <v>18</v>
      </c>
      <c r="M74" s="128">
        <f>IFERROR(AVERAGE(M62:M73),0)</f>
        <v>0</v>
      </c>
      <c r="N74" s="128">
        <f>IFERROR(AVERAGE(N62:N73),0)</f>
        <v>0</v>
      </c>
    </row>
    <row r="75" spans="8:14" x14ac:dyDescent="0.4"/>
    <row r="76" spans="8:14" x14ac:dyDescent="0.4"/>
    <row r="77" spans="8:14" x14ac:dyDescent="0.4"/>
  </sheetData>
  <protectedRanges>
    <protectedRange sqref="C12:E12 D21:E21 G21:H21 C40:E40 C45:E56 C22:H33" name="Range1"/>
  </protectedRanges>
  <mergeCells count="14">
    <mergeCell ref="I43:J43"/>
    <mergeCell ref="M43:N43"/>
    <mergeCell ref="A1:XFD1"/>
    <mergeCell ref="M60:N60"/>
    <mergeCell ref="A2:XFD2"/>
    <mergeCell ref="C10:E10"/>
    <mergeCell ref="C43:F43"/>
    <mergeCell ref="I60:J60"/>
    <mergeCell ref="C38:F38"/>
    <mergeCell ref="C18:I18"/>
    <mergeCell ref="D20:E20"/>
    <mergeCell ref="C15:E15"/>
    <mergeCell ref="G20:H20"/>
    <mergeCell ref="G5:N7"/>
  </mergeCells>
  <phoneticPr fontId="12" type="noConversion"/>
  <conditionalFormatting sqref="C45:C56">
    <cfRule type="cellIs" dxfId="2" priority="4" operator="greaterThan">
      <formula>$C$40</formula>
    </cfRule>
  </conditionalFormatting>
  <conditionalFormatting sqref="D45:D56">
    <cfRule type="cellIs" dxfId="1" priority="1" operator="greaterThan">
      <formula>$D$40</formula>
    </cfRule>
  </conditionalFormatting>
  <conditionalFormatting sqref="E45:E56">
    <cfRule type="cellIs" dxfId="0" priority="5" operator="greaterThan">
      <formula>$E$40</formula>
    </cfRule>
  </conditionalFormatting>
  <dataValidations count="2">
    <dataValidation type="list" allowBlank="1" showInputMessage="1" showErrorMessage="1" sqref="D21" xr:uid="{2A990F8D-98E0-4ABC-8738-DA8F1555E183}">
      <formula1>"(GJ), (kWh)"</formula1>
    </dataValidation>
    <dataValidation type="list" allowBlank="1" showInputMessage="1" showErrorMessage="1" sqref="E21" xr:uid="{85F340A8-7CA1-4478-A5A7-A955E44AB3C3}">
      <formula1>"(GJ),(L),(kg),(kWh)"</formula1>
    </dataValidation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9B95DCFE-0A2D-4300-B0F9-ED744BE2DB98}">
          <x14:formula1>
            <xm:f>Parameters!$C$19:$G$19</xm:f>
          </x14:formula1>
          <xm:sqref>H21</xm:sqref>
        </x14:dataValidation>
        <x14:dataValidation type="list" allowBlank="1" showInputMessage="1" showErrorMessage="1" xr:uid="{4EDBC08E-B090-40CB-8760-839C91E65B5A}">
          <x14:formula1>
            <xm:f>'Background Calcs'!$D$22:$R$22</xm:f>
          </x14:formula1>
          <xm:sqref>E12</xm:sqref>
        </x14:dataValidation>
        <x14:dataValidation type="list" allowBlank="1" showInputMessage="1" showErrorMessage="1" xr:uid="{1656615A-A40D-4F68-864E-3B31A0801C39}">
          <x14:formula1>
            <xm:f>Parameters!$C$15:$F$15</xm:f>
          </x14:formula1>
          <xm:sqref>G21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1B9BE-15C7-4A4B-B117-1D200EA19EB1}">
  <dimension ref="A1:T101"/>
  <sheetViews>
    <sheetView showGridLines="0" zoomScaleNormal="100" workbookViewId="0">
      <selection activeCell="A3" sqref="A3"/>
    </sheetView>
  </sheetViews>
  <sheetFormatPr defaultColWidth="0" defaultRowHeight="14.5" zeroHeight="1" x14ac:dyDescent="0.35"/>
  <cols>
    <col min="1" max="20" width="9.1796875" style="35" customWidth="1"/>
    <col min="21" max="22" width="9.1796875" style="35" hidden="1" customWidth="1"/>
    <col min="23" max="16384" width="9.1796875" style="35" hidden="1"/>
  </cols>
  <sheetData>
    <row r="1" spans="1:5" s="154" customFormat="1" ht="49.5" customHeight="1" x14ac:dyDescent="0.35"/>
    <row r="2" spans="1:5" s="146" customFormat="1" ht="45" customHeight="1" x14ac:dyDescent="0.35">
      <c r="A2" s="145" t="str">
        <f>"Summary Graphs for: "&amp;'Energy Calculator'!$C$12</f>
        <v xml:space="preserve">Summary Graphs for: </v>
      </c>
    </row>
    <row r="3" spans="1:5" s="55" customFormat="1" x14ac:dyDescent="0.35">
      <c r="D3" s="101"/>
      <c r="E3" s="102"/>
    </row>
    <row r="4" spans="1:5" x14ac:dyDescent="0.35"/>
    <row r="5" spans="1:5" x14ac:dyDescent="0.35"/>
    <row r="6" spans="1:5" x14ac:dyDescent="0.35"/>
    <row r="7" spans="1:5" x14ac:dyDescent="0.35"/>
    <row r="8" spans="1:5" x14ac:dyDescent="0.35"/>
    <row r="9" spans="1:5" x14ac:dyDescent="0.35"/>
    <row r="10" spans="1:5" x14ac:dyDescent="0.35"/>
    <row r="11" spans="1:5" x14ac:dyDescent="0.35"/>
    <row r="12" spans="1:5" x14ac:dyDescent="0.35"/>
    <row r="13" spans="1:5" x14ac:dyDescent="0.35"/>
    <row r="14" spans="1:5" x14ac:dyDescent="0.35"/>
    <row r="15" spans="1:5" x14ac:dyDescent="0.35"/>
    <row r="16" spans="1:5" x14ac:dyDescent="0.35"/>
    <row r="17" x14ac:dyDescent="0.35"/>
    <row r="18" x14ac:dyDescent="0.35"/>
    <row r="19" x14ac:dyDescent="0.35"/>
    <row r="20" x14ac:dyDescent="0.35"/>
    <row r="21" x14ac:dyDescent="0.35"/>
    <row r="22" x14ac:dyDescent="0.35"/>
    <row r="23" x14ac:dyDescent="0.35"/>
    <row r="24" x14ac:dyDescent="0.35"/>
    <row r="25" x14ac:dyDescent="0.35"/>
    <row r="26" x14ac:dyDescent="0.35"/>
    <row r="27" x14ac:dyDescent="0.35"/>
    <row r="28" x14ac:dyDescent="0.35"/>
    <row r="29" x14ac:dyDescent="0.35"/>
    <row r="30" x14ac:dyDescent="0.35"/>
    <row r="31" x14ac:dyDescent="0.35"/>
    <row r="32" x14ac:dyDescent="0.35"/>
    <row r="33" x14ac:dyDescent="0.35"/>
    <row r="34" x14ac:dyDescent="0.35"/>
    <row r="35" x14ac:dyDescent="0.35"/>
    <row r="36" x14ac:dyDescent="0.35"/>
    <row r="37" x14ac:dyDescent="0.35"/>
    <row r="38" x14ac:dyDescent="0.35"/>
    <row r="39" x14ac:dyDescent="0.35"/>
    <row r="40" x14ac:dyDescent="0.35"/>
    <row r="41" x14ac:dyDescent="0.35"/>
    <row r="42" x14ac:dyDescent="0.35"/>
    <row r="43" x14ac:dyDescent="0.35"/>
    <row r="44" x14ac:dyDescent="0.35"/>
    <row r="45" x14ac:dyDescent="0.35"/>
    <row r="46" x14ac:dyDescent="0.35"/>
    <row r="47" x14ac:dyDescent="0.35"/>
    <row r="48" x14ac:dyDescent="0.35"/>
    <row r="49" x14ac:dyDescent="0.35"/>
    <row r="50" x14ac:dyDescent="0.35"/>
    <row r="51" x14ac:dyDescent="0.35"/>
    <row r="52" x14ac:dyDescent="0.35"/>
    <row r="53" x14ac:dyDescent="0.35"/>
    <row r="54" x14ac:dyDescent="0.35"/>
    <row r="55" x14ac:dyDescent="0.35"/>
    <row r="56" x14ac:dyDescent="0.35"/>
    <row r="57" x14ac:dyDescent="0.35"/>
    <row r="58" x14ac:dyDescent="0.35"/>
    <row r="59" x14ac:dyDescent="0.35"/>
    <row r="60" x14ac:dyDescent="0.35"/>
    <row r="61" x14ac:dyDescent="0.35"/>
    <row r="62" x14ac:dyDescent="0.35"/>
    <row r="63" x14ac:dyDescent="0.35"/>
    <row r="64" x14ac:dyDescent="0.35"/>
    <row r="65" x14ac:dyDescent="0.35"/>
    <row r="66" x14ac:dyDescent="0.35"/>
    <row r="67" x14ac:dyDescent="0.35"/>
    <row r="68" x14ac:dyDescent="0.35"/>
    <row r="69" x14ac:dyDescent="0.35"/>
    <row r="70" x14ac:dyDescent="0.35"/>
    <row r="71" x14ac:dyDescent="0.35"/>
    <row r="72" x14ac:dyDescent="0.35"/>
    <row r="73" x14ac:dyDescent="0.35"/>
    <row r="74" x14ac:dyDescent="0.35"/>
    <row r="75" x14ac:dyDescent="0.35"/>
    <row r="76" x14ac:dyDescent="0.35"/>
    <row r="77" x14ac:dyDescent="0.35"/>
    <row r="78" x14ac:dyDescent="0.35"/>
    <row r="79" x14ac:dyDescent="0.35"/>
    <row r="80" x14ac:dyDescent="0.35"/>
    <row r="81" x14ac:dyDescent="0.35"/>
    <row r="82" x14ac:dyDescent="0.35"/>
    <row r="83" x14ac:dyDescent="0.35"/>
    <row r="84" x14ac:dyDescent="0.35"/>
    <row r="85" x14ac:dyDescent="0.35"/>
    <row r="86" x14ac:dyDescent="0.35"/>
    <row r="87" x14ac:dyDescent="0.35"/>
    <row r="88" x14ac:dyDescent="0.35"/>
    <row r="89" x14ac:dyDescent="0.35"/>
    <row r="90" x14ac:dyDescent="0.35"/>
    <row r="91" x14ac:dyDescent="0.35"/>
    <row r="92" x14ac:dyDescent="0.35"/>
    <row r="93" x14ac:dyDescent="0.35"/>
    <row r="94" x14ac:dyDescent="0.35"/>
    <row r="95" x14ac:dyDescent="0.35"/>
    <row r="96" x14ac:dyDescent="0.35"/>
    <row r="97" x14ac:dyDescent="0.35"/>
    <row r="98" x14ac:dyDescent="0.35"/>
    <row r="99" x14ac:dyDescent="0.35"/>
    <row r="100" x14ac:dyDescent="0.35"/>
    <row r="101" x14ac:dyDescent="0.35"/>
  </sheetData>
  <sheetProtection selectLockedCells="1" selectUnlockedCells="1"/>
  <mergeCells count="2">
    <mergeCell ref="A1:XFD1"/>
    <mergeCell ref="A2:XFD2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358DC-D774-4DE2-B115-6AB848D9DA84}">
  <dimension ref="B1:S30"/>
  <sheetViews>
    <sheetView showGridLines="0" tabSelected="1" topLeftCell="A6" zoomScale="115" zoomScaleNormal="115" workbookViewId="0">
      <selection activeCell="D8" sqref="D8"/>
    </sheetView>
  </sheetViews>
  <sheetFormatPr defaultColWidth="8.81640625" defaultRowHeight="14.5" x14ac:dyDescent="0.35"/>
  <cols>
    <col min="1" max="1" width="8.81640625" style="35" customWidth="1"/>
    <col min="2" max="2" width="40.453125" style="35" bestFit="1" customWidth="1"/>
    <col min="3" max="3" width="18.7265625" style="35" customWidth="1"/>
    <col min="4" max="4" width="19.26953125" style="35" customWidth="1"/>
    <col min="5" max="6" width="15.54296875" style="35" customWidth="1"/>
    <col min="7" max="7" width="15.54296875" style="35" hidden="1" customWidth="1"/>
    <col min="8" max="11" width="8.81640625" style="35" customWidth="1"/>
    <col min="12" max="12" width="10.453125" style="35" customWidth="1"/>
    <col min="13" max="18" width="8.81640625" style="35" customWidth="1"/>
    <col min="19" max="19" width="24.7265625" style="35" customWidth="1"/>
    <col min="20" max="20" width="8.81640625" style="35" customWidth="1"/>
    <col min="21" max="16384" width="8.81640625" style="35"/>
  </cols>
  <sheetData>
    <row r="1" spans="2:19" ht="18.5" x14ac:dyDescent="0.45">
      <c r="B1" s="46" t="s">
        <v>3</v>
      </c>
      <c r="C1" s="47"/>
      <c r="E1" s="47"/>
      <c r="M1" s="50"/>
      <c r="N1" s="48"/>
      <c r="Q1" s="49"/>
      <c r="S1" s="50"/>
    </row>
    <row r="2" spans="2:19" x14ac:dyDescent="0.35">
      <c r="B2" s="54"/>
      <c r="C2" s="60"/>
      <c r="D2" s="54"/>
      <c r="E2" s="54"/>
      <c r="F2" s="3"/>
      <c r="G2" s="54"/>
      <c r="H2" s="3"/>
      <c r="I2" s="54"/>
      <c r="J2" s="60"/>
      <c r="K2" s="60"/>
      <c r="L2" s="60"/>
      <c r="M2" s="52"/>
      <c r="N2" s="73"/>
      <c r="O2" s="60"/>
      <c r="P2" s="60"/>
      <c r="Q2" s="3"/>
      <c r="R2" s="60"/>
      <c r="S2" s="3"/>
    </row>
    <row r="3" spans="2:19" x14ac:dyDescent="0.35">
      <c r="B3" s="58" t="s">
        <v>4</v>
      </c>
      <c r="C3" s="56"/>
      <c r="D3" s="56"/>
      <c r="E3" s="56"/>
      <c r="F3"/>
      <c r="G3" s="56"/>
      <c r="H3"/>
      <c r="I3" s="137" t="s">
        <v>89</v>
      </c>
      <c r="J3" s="56"/>
      <c r="K3" s="56"/>
      <c r="L3" s="56"/>
      <c r="M3" s="53"/>
      <c r="N3" s="74"/>
      <c r="O3" s="56"/>
      <c r="P3" s="56"/>
      <c r="Q3"/>
      <c r="R3" s="56"/>
      <c r="S3"/>
    </row>
    <row r="4" spans="2:19" x14ac:dyDescent="0.35">
      <c r="B4" s="38" t="s">
        <v>22</v>
      </c>
      <c r="C4" s="37">
        <f>1000/3.6</f>
        <v>277.77777777777777</v>
      </c>
      <c r="D4" s="41"/>
      <c r="F4" s="49"/>
      <c r="H4" s="49"/>
      <c r="M4" s="50"/>
      <c r="N4" s="48"/>
      <c r="Q4" s="49"/>
      <c r="S4" s="50"/>
    </row>
    <row r="5" spans="2:19" x14ac:dyDescent="0.35">
      <c r="B5" s="38" t="s">
        <v>19</v>
      </c>
      <c r="C5" s="37">
        <f>2858/411</f>
        <v>6.9537712895377126</v>
      </c>
      <c r="F5" s="49"/>
      <c r="H5" s="49"/>
      <c r="I5" s="41" t="s">
        <v>23</v>
      </c>
      <c r="M5" s="50"/>
      <c r="N5" s="48"/>
      <c r="Q5" s="49"/>
      <c r="S5" s="50"/>
    </row>
    <row r="6" spans="2:19" x14ac:dyDescent="0.35">
      <c r="B6" s="38" t="s">
        <v>20</v>
      </c>
      <c r="C6" s="37">
        <f>2858/210</f>
        <v>13.609523809523809</v>
      </c>
      <c r="F6" s="49"/>
      <c r="H6" s="49"/>
      <c r="I6" s="41" t="s">
        <v>23</v>
      </c>
      <c r="M6" s="50"/>
      <c r="N6" s="48"/>
      <c r="Q6" s="49"/>
      <c r="S6" s="50"/>
    </row>
    <row r="7" spans="2:19" x14ac:dyDescent="0.35">
      <c r="B7" s="38" t="s">
        <v>21</v>
      </c>
      <c r="C7" s="37">
        <f>38.1*C4/1000</f>
        <v>10.583333333333334</v>
      </c>
      <c r="F7" s="49"/>
      <c r="H7" s="49"/>
      <c r="I7" s="41" t="s">
        <v>88</v>
      </c>
      <c r="M7" s="50"/>
      <c r="N7" s="48"/>
      <c r="Q7" s="77"/>
      <c r="S7" s="50"/>
    </row>
    <row r="8" spans="2:19" x14ac:dyDescent="0.35">
      <c r="F8" s="49"/>
      <c r="H8" s="49"/>
      <c r="M8" s="50"/>
      <c r="N8" s="48"/>
      <c r="Q8" s="49"/>
      <c r="S8" s="50"/>
    </row>
    <row r="9" spans="2:19" x14ac:dyDescent="0.35">
      <c r="B9" s="43" t="s">
        <v>5</v>
      </c>
      <c r="F9" s="49"/>
      <c r="H9" s="49"/>
      <c r="M9" s="50"/>
      <c r="N9" s="48"/>
      <c r="Q9" s="49"/>
      <c r="S9" s="50"/>
    </row>
    <row r="10" spans="2:19" x14ac:dyDescent="0.35">
      <c r="B10" s="38" t="s">
        <v>6</v>
      </c>
      <c r="C10" s="42">
        <f>(0.074+0.011)/1000</f>
        <v>8.4999999999999993E-5</v>
      </c>
      <c r="D10" s="35" t="s">
        <v>30</v>
      </c>
      <c r="F10" s="49"/>
      <c r="H10" s="49"/>
      <c r="I10" s="41" t="s">
        <v>54</v>
      </c>
      <c r="M10" s="50"/>
      <c r="N10" s="48"/>
      <c r="Q10" s="49"/>
      <c r="S10" s="50"/>
    </row>
    <row r="11" spans="2:19" x14ac:dyDescent="0.35">
      <c r="B11" s="38" t="s">
        <v>25</v>
      </c>
      <c r="C11" s="42">
        <f>(0.193+0.012)/1000</f>
        <v>2.0500000000000002E-4</v>
      </c>
      <c r="D11" s="35" t="s">
        <v>30</v>
      </c>
      <c r="F11" s="49"/>
      <c r="H11" s="49"/>
      <c r="I11" s="41" t="s">
        <v>54</v>
      </c>
      <c r="M11" s="50"/>
      <c r="N11" s="48"/>
      <c r="Q11" s="49"/>
      <c r="S11" s="50"/>
    </row>
    <row r="12" spans="2:19" x14ac:dyDescent="0.35">
      <c r="B12" s="38" t="s">
        <v>26</v>
      </c>
      <c r="C12" s="42">
        <f>2.97/C6/1000</f>
        <v>2.1822953114065781E-4</v>
      </c>
      <c r="F12" s="49"/>
      <c r="H12" s="49"/>
      <c r="I12" s="41" t="s">
        <v>54</v>
      </c>
      <c r="M12" s="50"/>
      <c r="N12" s="48"/>
      <c r="Q12" s="49"/>
      <c r="S12" s="50"/>
    </row>
    <row r="13" spans="2:19" x14ac:dyDescent="0.35">
      <c r="B13" s="38" t="s">
        <v>27</v>
      </c>
      <c r="C13" s="42">
        <f>2.69/C7/1000</f>
        <v>2.5417322834645666E-4</v>
      </c>
      <c r="F13" s="49"/>
      <c r="H13" s="49"/>
      <c r="I13" s="41" t="s">
        <v>54</v>
      </c>
      <c r="M13" s="50"/>
      <c r="N13" s="48"/>
      <c r="Q13" s="49"/>
      <c r="S13" s="50"/>
    </row>
    <row r="14" spans="2:19" x14ac:dyDescent="0.35">
      <c r="B14" s="59"/>
      <c r="C14" s="61"/>
      <c r="D14" s="63"/>
      <c r="E14" s="60"/>
      <c r="F14" s="3"/>
      <c r="G14" s="60"/>
      <c r="H14" s="3"/>
      <c r="I14" s="60"/>
      <c r="J14" s="60"/>
      <c r="K14" s="60"/>
      <c r="L14" s="60"/>
      <c r="M14" s="52"/>
      <c r="N14" s="75"/>
      <c r="O14" s="54"/>
      <c r="P14" s="54"/>
      <c r="Q14" s="78"/>
      <c r="R14" s="54"/>
      <c r="S14" s="3"/>
    </row>
    <row r="15" spans="2:19" x14ac:dyDescent="0.35">
      <c r="B15" s="58" t="s">
        <v>32</v>
      </c>
      <c r="C15" s="62" t="s">
        <v>90</v>
      </c>
      <c r="D15" s="62" t="s">
        <v>91</v>
      </c>
      <c r="E15" s="64" t="s">
        <v>33</v>
      </c>
      <c r="F15" s="139" t="s">
        <v>7</v>
      </c>
      <c r="G15" s="56"/>
      <c r="H15"/>
      <c r="I15" s="56"/>
      <c r="J15" s="56"/>
      <c r="K15" s="56"/>
      <c r="L15" s="56"/>
      <c r="M15" s="57"/>
      <c r="N15" s="74"/>
      <c r="O15" s="56"/>
      <c r="P15" s="55"/>
      <c r="Q15"/>
      <c r="R15" s="56"/>
      <c r="S15"/>
    </row>
    <row r="16" spans="2:19" x14ac:dyDescent="0.35">
      <c r="B16" s="38" t="s">
        <v>34</v>
      </c>
      <c r="C16" s="39">
        <f>11.4*C4</f>
        <v>3166.6666666666665</v>
      </c>
      <c r="D16" s="39">
        <f>13.5*C4</f>
        <v>3750</v>
      </c>
      <c r="E16" s="40">
        <f>17*C4</f>
        <v>4722.2222222222217</v>
      </c>
      <c r="F16" s="138"/>
      <c r="H16" s="49"/>
      <c r="I16" s="41" t="s">
        <v>35</v>
      </c>
      <c r="M16" s="50"/>
      <c r="N16" s="48"/>
      <c r="Q16" s="49"/>
      <c r="S16" s="50"/>
    </row>
    <row r="17" spans="2:19" x14ac:dyDescent="0.35">
      <c r="B17" s="38" t="s">
        <v>31</v>
      </c>
      <c r="C17" s="42">
        <f>0.06696</f>
        <v>6.6960000000000006E-2</v>
      </c>
      <c r="D17" s="42">
        <f>0.06696</f>
        <v>6.6960000000000006E-2</v>
      </c>
      <c r="E17" s="42">
        <f>0.06696</f>
        <v>6.6960000000000006E-2</v>
      </c>
      <c r="F17" s="138"/>
      <c r="H17" s="49"/>
      <c r="I17" s="41" t="s">
        <v>54</v>
      </c>
      <c r="M17" s="50"/>
      <c r="N17" s="48"/>
      <c r="Q17" s="49"/>
      <c r="S17" s="50"/>
    </row>
    <row r="18" spans="2:19" x14ac:dyDescent="0.35">
      <c r="B18" s="38"/>
      <c r="C18" s="42"/>
      <c r="D18" s="42"/>
      <c r="E18" s="41"/>
      <c r="F18" s="49"/>
      <c r="H18" s="49"/>
      <c r="M18" s="50"/>
      <c r="N18" s="48"/>
      <c r="Q18" s="49"/>
      <c r="S18" s="50"/>
    </row>
    <row r="19" spans="2:19" x14ac:dyDescent="0.35">
      <c r="B19" s="43" t="s">
        <v>8</v>
      </c>
      <c r="C19" s="43" t="s">
        <v>9</v>
      </c>
      <c r="D19" s="43" t="s">
        <v>10</v>
      </c>
      <c r="E19" s="43" t="s">
        <v>58</v>
      </c>
      <c r="F19" s="65" t="s">
        <v>11</v>
      </c>
      <c r="G19" s="43" t="s">
        <v>7</v>
      </c>
      <c r="I19" s="49"/>
      <c r="M19" s="50"/>
      <c r="N19" s="48"/>
      <c r="Q19" s="49"/>
      <c r="S19" s="50"/>
    </row>
    <row r="20" spans="2:19" x14ac:dyDescent="0.35">
      <c r="B20" s="38" t="s">
        <v>12</v>
      </c>
      <c r="C20" s="39">
        <v>29870</v>
      </c>
      <c r="D20" s="39">
        <v>21590</v>
      </c>
      <c r="E20" s="39">
        <v>15260</v>
      </c>
      <c r="F20" s="66">
        <v>25730</v>
      </c>
      <c r="G20" s="44"/>
      <c r="I20" s="70" t="s">
        <v>24</v>
      </c>
      <c r="M20" s="50"/>
      <c r="N20" s="48"/>
      <c r="Q20" s="49"/>
      <c r="S20" s="50"/>
    </row>
    <row r="21" spans="2:19" x14ac:dyDescent="0.35">
      <c r="B21" s="38" t="s">
        <v>28</v>
      </c>
      <c r="C21" s="39">
        <f>C20*$C$4/1000</f>
        <v>8297.2222222222226</v>
      </c>
      <c r="D21" s="39">
        <f t="shared" ref="D21:F21" si="0">D20*$C$4/1000</f>
        <v>5997.2222222222217</v>
      </c>
      <c r="E21" s="39">
        <f t="shared" si="0"/>
        <v>4238.8888888888887</v>
      </c>
      <c r="F21" s="66">
        <f t="shared" si="0"/>
        <v>7147.2222222222217</v>
      </c>
      <c r="G21" s="44"/>
      <c r="I21" s="49"/>
      <c r="M21" s="50"/>
      <c r="N21" s="48"/>
      <c r="Q21" s="49"/>
      <c r="S21" s="50"/>
    </row>
    <row r="22" spans="2:19" ht="15" customHeight="1" x14ac:dyDescent="0.35">
      <c r="B22" s="38" t="s">
        <v>13</v>
      </c>
      <c r="C22" s="37">
        <v>2.66</v>
      </c>
      <c r="D22" s="37">
        <v>2.0099999999999998</v>
      </c>
      <c r="E22" s="37">
        <v>1.43</v>
      </c>
      <c r="F22" s="67">
        <v>2.34</v>
      </c>
      <c r="G22" s="44"/>
      <c r="I22" s="71" t="s">
        <v>54</v>
      </c>
      <c r="J22" s="45"/>
      <c r="K22" s="45"/>
      <c r="L22" s="45"/>
      <c r="M22" s="69"/>
      <c r="N22" s="76"/>
      <c r="O22" s="45"/>
      <c r="P22" s="45"/>
      <c r="Q22" s="72"/>
      <c r="R22" s="45"/>
      <c r="S22" s="69"/>
    </row>
    <row r="23" spans="2:19" x14ac:dyDescent="0.35">
      <c r="B23" s="38" t="s">
        <v>29</v>
      </c>
      <c r="C23" s="42">
        <f>C22/C21</f>
        <v>3.2058921995313023E-4</v>
      </c>
      <c r="D23" s="42">
        <f t="shared" ref="D23:F23" si="1">D22/D21</f>
        <v>3.3515516442797591E-4</v>
      </c>
      <c r="E23" s="42">
        <f t="shared" si="1"/>
        <v>3.3735255570117954E-4</v>
      </c>
      <c r="F23" s="68">
        <f t="shared" si="1"/>
        <v>3.2739992226972405E-4</v>
      </c>
      <c r="G23" s="44"/>
      <c r="H23" s="72"/>
      <c r="I23" s="45"/>
      <c r="J23" s="45"/>
      <c r="K23" s="45"/>
      <c r="L23" s="45"/>
      <c r="M23" s="69"/>
      <c r="N23" s="76"/>
      <c r="O23" s="45"/>
      <c r="P23" s="45"/>
      <c r="Q23" s="72"/>
      <c r="R23" s="45"/>
      <c r="S23" s="69"/>
    </row>
    <row r="24" spans="2:19" x14ac:dyDescent="0.35">
      <c r="B24" s="60"/>
      <c r="C24" s="60"/>
      <c r="D24" s="60"/>
      <c r="E24" s="60"/>
      <c r="F24" s="3"/>
      <c r="G24" s="60"/>
      <c r="H24" s="3"/>
      <c r="I24" s="60"/>
      <c r="J24" s="60"/>
      <c r="K24" s="60"/>
      <c r="L24" s="54"/>
      <c r="M24" s="52"/>
      <c r="N24" s="75"/>
      <c r="O24" s="54"/>
      <c r="P24" s="54"/>
      <c r="Q24" s="78"/>
      <c r="R24" s="54"/>
      <c r="S24" s="3"/>
    </row>
    <row r="25" spans="2:19" x14ac:dyDescent="0.35">
      <c r="B25" s="58" t="s">
        <v>55</v>
      </c>
      <c r="C25" s="56" t="s">
        <v>57</v>
      </c>
      <c r="D25" s="56"/>
      <c r="E25" s="56"/>
      <c r="F25"/>
      <c r="G25" s="56"/>
      <c r="I25" s="2" t="s">
        <v>56</v>
      </c>
      <c r="J25" s="51"/>
      <c r="K25" s="51"/>
      <c r="L25" s="56"/>
      <c r="M25" s="57"/>
      <c r="N25" s="74"/>
      <c r="O25" s="56"/>
      <c r="P25" s="56"/>
      <c r="Q25"/>
      <c r="R25" s="55"/>
      <c r="S25"/>
    </row>
    <row r="26" spans="2:19" x14ac:dyDescent="0.35">
      <c r="F26" s="49"/>
      <c r="H26" s="49"/>
      <c r="M26" s="50"/>
      <c r="N26" s="48"/>
      <c r="Q26" s="49"/>
      <c r="S26" s="50"/>
    </row>
    <row r="27" spans="2:19" x14ac:dyDescent="0.35">
      <c r="F27" s="48"/>
      <c r="H27" s="50"/>
      <c r="M27" s="50"/>
      <c r="N27" s="48"/>
      <c r="Q27" s="49"/>
      <c r="S27" s="50"/>
    </row>
    <row r="28" spans="2:19" x14ac:dyDescent="0.35">
      <c r="C28" s="37"/>
      <c r="F28" s="48"/>
      <c r="H28" s="50"/>
      <c r="M28" s="50"/>
      <c r="Q28" s="49"/>
      <c r="S28" s="50"/>
    </row>
    <row r="29" spans="2:19" x14ac:dyDescent="0.35">
      <c r="M29" s="50"/>
      <c r="Q29" s="48"/>
      <c r="S29" s="50"/>
    </row>
    <row r="30" spans="2:19" x14ac:dyDescent="0.35">
      <c r="M30" s="50"/>
    </row>
  </sheetData>
  <hyperlinks>
    <hyperlink ref="I5" r:id="rId1" xr:uid="{141CA5CF-FBAE-4A66-82DC-26D6C705FE58}"/>
    <hyperlink ref="I6" r:id="rId2" xr:uid="{6E175DCC-0CE2-4ACB-8984-A96FAD0BD17B}"/>
    <hyperlink ref="I16" r:id="rId3" xr:uid="{017825D7-9210-4714-A6C1-B10FF087C666}"/>
    <hyperlink ref="I22" r:id="rId4" xr:uid="{998A6F47-B8A1-44E3-96C7-5869130B2A0B}"/>
    <hyperlink ref="I25" r:id="rId5" xr:uid="{B53D130D-8D43-4B87-8461-0638E2019086}"/>
    <hyperlink ref="I7" r:id="rId6" xr:uid="{844CBFE5-9624-4B18-BF7D-C0CC2AC59682}"/>
    <hyperlink ref="I10" r:id="rId7" xr:uid="{36A0AE4D-095B-4C91-A3C9-012EDB515D58}"/>
  </hyperlinks>
  <pageMargins left="0.7" right="0.7" top="0.75" bottom="0.75" header="0.3" footer="0.3"/>
  <pageSetup orientation="portrait" r:id="rId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7EBA7-099E-4319-8C19-AEFA02CC8B08}">
  <dimension ref="B3:AA35"/>
  <sheetViews>
    <sheetView showGridLines="0" workbookViewId="0">
      <selection activeCell="C26" sqref="C26"/>
    </sheetView>
  </sheetViews>
  <sheetFormatPr defaultRowHeight="14.5" x14ac:dyDescent="0.35"/>
  <cols>
    <col min="2" max="9" width="11.54296875" customWidth="1"/>
    <col min="10" max="10" width="10.26953125" customWidth="1"/>
    <col min="11" max="11" width="12" customWidth="1"/>
    <col min="12" max="12" width="12.26953125" customWidth="1"/>
    <col min="13" max="13" width="14.81640625" customWidth="1"/>
    <col min="14" max="14" width="12.81640625" customWidth="1"/>
    <col min="16" max="16" width="10.1796875" customWidth="1"/>
    <col min="17" max="17" width="9.26953125" customWidth="1"/>
    <col min="18" max="18" width="12.453125" customWidth="1"/>
  </cols>
  <sheetData>
    <row r="3" spans="2:27" ht="33.75" customHeight="1" x14ac:dyDescent="0.4">
      <c r="B3" s="5"/>
      <c r="C3" s="6" t="s">
        <v>53</v>
      </c>
      <c r="D3" s="7"/>
      <c r="E3" s="7"/>
      <c r="F3" s="7"/>
      <c r="G3" s="7"/>
      <c r="H3" s="7"/>
      <c r="I3" s="8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2:27" ht="36.75" customHeight="1" x14ac:dyDescent="0.4">
      <c r="B4" s="9" t="s">
        <v>36</v>
      </c>
      <c r="C4" s="10" t="str">
        <f>IF(C18&lt;0.5%,"","Electricity")</f>
        <v/>
      </c>
      <c r="D4" s="10" t="str">
        <f>IF(D18&lt;0.5%,"","Natural Gas")</f>
        <v/>
      </c>
      <c r="E4" s="10" t="str">
        <f>IF(E18&lt;0.5%,"","LPG")</f>
        <v/>
      </c>
      <c r="F4" s="10" t="str">
        <f>IF(F18&lt;0.5%,"","Diesel")</f>
        <v/>
      </c>
      <c r="G4" s="10" t="str">
        <f>IF(G18&lt;0.5%,"","Biomass")</f>
        <v/>
      </c>
      <c r="H4" s="10" t="str">
        <f>IF(H18&lt;0.5%,"","Coal")</f>
        <v/>
      </c>
      <c r="I4" s="11"/>
      <c r="J4" s="1"/>
    </row>
    <row r="5" spans="2:27" ht="15" x14ac:dyDescent="0.4">
      <c r="B5" s="12">
        <f>'Energy Calculator'!B45</f>
        <v>0</v>
      </c>
      <c r="C5" s="13">
        <f>'Energy Calculator'!C22*Parameters!$C$10</f>
        <v>0</v>
      </c>
      <c r="D5" s="13">
        <f>IF('Energy Calculator'!$D$21="(GJ)",'Energy Calculator'!D22*Parameters!$C$4, 'Energy Calculator'!D22)*Parameters!$C$11</f>
        <v>0</v>
      </c>
      <c r="E5" s="13" cm="1">
        <f t="array" ref="E5">_xlfn.IFS('Energy Calculator'!$E$21 ="(GJ)",'Energy Calculator'!E22*Parameters!$C$4,'Energy Calculator'!$E$21="(L)",'Energy Calculator'!E22*Parameters!$C$5,'Energy Calculator'!$E$21="(kg)",'Energy Calculator'!E22*Parameters!$C$6,1,'Energy Calculator'!E22)*Parameters!$C$12</f>
        <v>0</v>
      </c>
      <c r="F5" s="13">
        <f>'Energy Calculator'!F22*Parameters!$C$7*Parameters!$C$13</f>
        <v>0</v>
      </c>
      <c r="G5" s="13">
        <f>'Energy Calculator'!G22*_xlfn.XLOOKUP('Energy Calculator'!$G$21,Parameters!$C$15:$F$15,Parameters!$C$17:$F$17)</f>
        <v>0</v>
      </c>
      <c r="H5" s="13">
        <f>'Energy Calculator'!H22*_xlfn.XLOOKUP('Energy Calculator'!$H$21,Parameters!$C$19:$G$19,Parameters!$C$21:$G$21)*_xlfn.XLOOKUP('Energy Calculator'!$H$21,Parameters!$C$19:$G$19,Parameters!$C$23:$G$23)</f>
        <v>0</v>
      </c>
      <c r="I5" s="17">
        <f>SUM(C5:H5)</f>
        <v>0</v>
      </c>
      <c r="J5" s="1"/>
    </row>
    <row r="6" spans="2:27" ht="15" x14ac:dyDescent="0.4">
      <c r="B6" s="12">
        <f>'Energy Calculator'!B46</f>
        <v>32</v>
      </c>
      <c r="C6" s="13">
        <f>'Energy Calculator'!C23*Parameters!$C$10</f>
        <v>0</v>
      </c>
      <c r="D6" s="13">
        <f>IF('Energy Calculator'!$D$21="(GJ)",'Energy Calculator'!D23*Parameters!$C$4, 'Energy Calculator'!D23)*Parameters!$C$11</f>
        <v>0</v>
      </c>
      <c r="E6" s="13" cm="1">
        <f t="array" ref="E6">_xlfn.IFS('Energy Calculator'!$E$21 ="(GJ)",'Energy Calculator'!E23*Parameters!$C$4,'Energy Calculator'!$E$21="(L)",'Energy Calculator'!E23*Parameters!$C$5,'Energy Calculator'!$E$21="(kg)",'Energy Calculator'!E23*Parameters!$C$6,1,'Energy Calculator'!E23)*Parameters!$C$12</f>
        <v>0</v>
      </c>
      <c r="F6" s="13">
        <f>'Energy Calculator'!F23*Parameters!$C$7*Parameters!$C$13</f>
        <v>0</v>
      </c>
      <c r="G6" s="13">
        <f>'Energy Calculator'!G23*_xlfn.XLOOKUP('Energy Calculator'!$G$21,Parameters!$C$15:$F$15,Parameters!$C$17:$F$17)</f>
        <v>0</v>
      </c>
      <c r="H6" s="13">
        <f>'Energy Calculator'!H23*_xlfn.XLOOKUP('Energy Calculator'!$H$21,Parameters!$C$19:$G$19,Parameters!$C$21:$G$21)*_xlfn.XLOOKUP('Energy Calculator'!$H$21,Parameters!$C$19:$G$19,Parameters!$C$23:$G$23)</f>
        <v>0</v>
      </c>
      <c r="I6" s="17">
        <f t="shared" ref="I6:I16" si="0">SUM(C6:H6)</f>
        <v>0</v>
      </c>
      <c r="J6" s="1"/>
    </row>
    <row r="7" spans="2:27" ht="15" x14ac:dyDescent="0.4">
      <c r="B7" s="12">
        <f>'Energy Calculator'!B47</f>
        <v>61</v>
      </c>
      <c r="C7" s="13">
        <f>'Energy Calculator'!C24*Parameters!$C$10</f>
        <v>0</v>
      </c>
      <c r="D7" s="13">
        <f>IF('Energy Calculator'!$D$21="(GJ)",'Energy Calculator'!D24*Parameters!$C$4, 'Energy Calculator'!D24)*Parameters!$C$11</f>
        <v>0</v>
      </c>
      <c r="E7" s="13" cm="1">
        <f t="array" ref="E7">_xlfn.IFS('Energy Calculator'!$E$21 ="(GJ)",'Energy Calculator'!E24*Parameters!$C$4,'Energy Calculator'!$E$21="(L)",'Energy Calculator'!E24*Parameters!$C$5,'Energy Calculator'!$E$21="(kg)",'Energy Calculator'!E24*Parameters!$C$6,1,'Energy Calculator'!E24)*Parameters!$C$12</f>
        <v>0</v>
      </c>
      <c r="F7" s="13">
        <f>'Energy Calculator'!F24*Parameters!$C$7*Parameters!$C$13</f>
        <v>0</v>
      </c>
      <c r="G7" s="13">
        <f>'Energy Calculator'!G24*_xlfn.XLOOKUP('Energy Calculator'!$G$21,Parameters!$C$15:$F$15,Parameters!$C$17:$F$17)</f>
        <v>0</v>
      </c>
      <c r="H7" s="13">
        <f>'Energy Calculator'!H24*_xlfn.XLOOKUP('Energy Calculator'!$H$21,Parameters!$C$19:$G$19,Parameters!$C$21:$G$21)*_xlfn.XLOOKUP('Energy Calculator'!$H$21,Parameters!$C$19:$G$19,Parameters!$C$23:$G$23)</f>
        <v>0</v>
      </c>
      <c r="I7" s="17">
        <f t="shared" si="0"/>
        <v>0</v>
      </c>
      <c r="J7" s="1"/>
    </row>
    <row r="8" spans="2:27" ht="15" x14ac:dyDescent="0.4">
      <c r="B8" s="12">
        <f>'Energy Calculator'!B48</f>
        <v>92</v>
      </c>
      <c r="C8" s="13">
        <f>'Energy Calculator'!C25*Parameters!$C$10</f>
        <v>0</v>
      </c>
      <c r="D8" s="13">
        <f>IF('Energy Calculator'!$D$21="(GJ)",'Energy Calculator'!D25*Parameters!$C$4, 'Energy Calculator'!D25)*Parameters!$C$11</f>
        <v>0</v>
      </c>
      <c r="E8" s="13" cm="1">
        <f t="array" ref="E8">_xlfn.IFS('Energy Calculator'!$E$21 ="(GJ)",'Energy Calculator'!E25*Parameters!$C$4,'Energy Calculator'!$E$21="(L)",'Energy Calculator'!E25*Parameters!$C$5,'Energy Calculator'!$E$21="(kg)",'Energy Calculator'!E25*Parameters!$C$6,1,'Energy Calculator'!E25)*Parameters!$C$12</f>
        <v>0</v>
      </c>
      <c r="F8" s="13">
        <f>'Energy Calculator'!F25*Parameters!$C$7*Parameters!$C$13</f>
        <v>0</v>
      </c>
      <c r="G8" s="13">
        <f>'Energy Calculator'!G25*_xlfn.XLOOKUP('Energy Calculator'!$G$21,Parameters!$C$15:$F$15,Parameters!$C$17:$F$17)</f>
        <v>0</v>
      </c>
      <c r="H8" s="13">
        <f>'Energy Calculator'!H25*_xlfn.XLOOKUP('Energy Calculator'!$H$21,Parameters!$C$19:$G$19,Parameters!$C$21:$G$21)*_xlfn.XLOOKUP('Energy Calculator'!$H$21,Parameters!$C$19:$G$19,Parameters!$C$23:$G$23)</f>
        <v>0</v>
      </c>
      <c r="I8" s="17">
        <f t="shared" si="0"/>
        <v>0</v>
      </c>
      <c r="J8" s="1"/>
    </row>
    <row r="9" spans="2:27" ht="15" x14ac:dyDescent="0.4">
      <c r="B9" s="12">
        <f>'Energy Calculator'!B49</f>
        <v>122</v>
      </c>
      <c r="C9" s="13">
        <f>'Energy Calculator'!C26*Parameters!$C$10</f>
        <v>0</v>
      </c>
      <c r="D9" s="13">
        <f>IF('Energy Calculator'!$D$21="(GJ)",'Energy Calculator'!D26*Parameters!$C$4, 'Energy Calculator'!D26)*Parameters!$C$11</f>
        <v>0</v>
      </c>
      <c r="E9" s="13" cm="1">
        <f t="array" ref="E9">_xlfn.IFS('Energy Calculator'!$E$21 ="(GJ)",'Energy Calculator'!E26*Parameters!$C$4,'Energy Calculator'!$E$21="(L)",'Energy Calculator'!E26*Parameters!$C$5,'Energy Calculator'!$E$21="(kg)",'Energy Calculator'!E26*Parameters!$C$6,1,'Energy Calculator'!E26)*Parameters!$C$12</f>
        <v>0</v>
      </c>
      <c r="F9" s="13">
        <f>'Energy Calculator'!F26*Parameters!$C$7*Parameters!$C$13</f>
        <v>0</v>
      </c>
      <c r="G9" s="13">
        <f>'Energy Calculator'!G26*_xlfn.XLOOKUP('Energy Calculator'!$G$21,Parameters!$C$15:$F$15,Parameters!$C$17:$F$17)</f>
        <v>0</v>
      </c>
      <c r="H9" s="13">
        <f>'Energy Calculator'!H26*_xlfn.XLOOKUP('Energy Calculator'!$H$21,Parameters!$C$19:$G$19,Parameters!$C$21:$G$21)*_xlfn.XLOOKUP('Energy Calculator'!$H$21,Parameters!$C$19:$G$19,Parameters!$C$23:$G$23)</f>
        <v>0</v>
      </c>
      <c r="I9" s="17">
        <f t="shared" si="0"/>
        <v>0</v>
      </c>
      <c r="J9" s="1"/>
    </row>
    <row r="10" spans="2:27" ht="15" x14ac:dyDescent="0.4">
      <c r="B10" s="12">
        <f>'Energy Calculator'!B50</f>
        <v>153</v>
      </c>
      <c r="C10" s="13">
        <f>'Energy Calculator'!C27*Parameters!$C$10</f>
        <v>0</v>
      </c>
      <c r="D10" s="13">
        <f>IF('Energy Calculator'!$D$21="(GJ)",'Energy Calculator'!D27*Parameters!$C$4, 'Energy Calculator'!D27)*Parameters!$C$11</f>
        <v>0</v>
      </c>
      <c r="E10" s="13" cm="1">
        <f t="array" ref="E10">_xlfn.IFS('Energy Calculator'!$E$21 ="(GJ)",'Energy Calculator'!E27*Parameters!$C$4,'Energy Calculator'!$E$21="(L)",'Energy Calculator'!E27*Parameters!$C$5,'Energy Calculator'!$E$21="(kg)",'Energy Calculator'!E27*Parameters!$C$6,1,'Energy Calculator'!E27)*Parameters!$C$12</f>
        <v>0</v>
      </c>
      <c r="F10" s="13">
        <f>'Energy Calculator'!F27*Parameters!$C$7*Parameters!$C$13</f>
        <v>0</v>
      </c>
      <c r="G10" s="13">
        <f>'Energy Calculator'!G27*_xlfn.XLOOKUP('Energy Calculator'!$G$21,Parameters!$C$15:$F$15,Parameters!$C$17:$F$17)</f>
        <v>0</v>
      </c>
      <c r="H10" s="13">
        <f>'Energy Calculator'!H27*_xlfn.XLOOKUP('Energy Calculator'!$H$21,Parameters!$C$19:$G$19,Parameters!$C$21:$G$21)*_xlfn.XLOOKUP('Energy Calculator'!$H$21,Parameters!$C$19:$G$19,Parameters!$C$23:$G$23)</f>
        <v>0</v>
      </c>
      <c r="I10" s="17">
        <f t="shared" si="0"/>
        <v>0</v>
      </c>
      <c r="J10" s="1"/>
    </row>
    <row r="11" spans="2:27" ht="15" x14ac:dyDescent="0.4">
      <c r="B11" s="12">
        <f>'Energy Calculator'!B51</f>
        <v>183</v>
      </c>
      <c r="C11" s="13">
        <f>'Energy Calculator'!C28*Parameters!$C$10</f>
        <v>0</v>
      </c>
      <c r="D11" s="13">
        <f>IF('Energy Calculator'!$D$21="(GJ)",'Energy Calculator'!D28*Parameters!$C$4, 'Energy Calculator'!D28)*Parameters!$C$11</f>
        <v>0</v>
      </c>
      <c r="E11" s="13" cm="1">
        <f t="array" ref="E11">_xlfn.IFS('Energy Calculator'!$E$21 ="(GJ)",'Energy Calculator'!E28*Parameters!$C$4,'Energy Calculator'!$E$21="(L)",'Energy Calculator'!E28*Parameters!$C$5,'Energy Calculator'!$E$21="(kg)",'Energy Calculator'!E28*Parameters!$C$6,1,'Energy Calculator'!E28)*Parameters!$C$12</f>
        <v>0</v>
      </c>
      <c r="F11" s="13">
        <f>'Energy Calculator'!F28*Parameters!$C$7*Parameters!$C$13</f>
        <v>0</v>
      </c>
      <c r="G11" s="13">
        <f>'Energy Calculator'!G28*_xlfn.XLOOKUP('Energy Calculator'!$G$21,Parameters!$C$15:$F$15,Parameters!$C$17:$F$17)</f>
        <v>0</v>
      </c>
      <c r="H11" s="13">
        <f>'Energy Calculator'!H28*_xlfn.XLOOKUP('Energy Calculator'!$H$21,Parameters!$C$19:$G$19,Parameters!$C$21:$G$21)*_xlfn.XLOOKUP('Energy Calculator'!$H$21,Parameters!$C$19:$G$19,Parameters!$C$23:$G$23)</f>
        <v>0</v>
      </c>
      <c r="I11" s="17">
        <f t="shared" si="0"/>
        <v>0</v>
      </c>
      <c r="J11" s="1"/>
    </row>
    <row r="12" spans="2:27" ht="15" x14ac:dyDescent="0.4">
      <c r="B12" s="12">
        <f>'Energy Calculator'!B52</f>
        <v>214</v>
      </c>
      <c r="C12" s="13">
        <f>'Energy Calculator'!C29*Parameters!$C$10</f>
        <v>0</v>
      </c>
      <c r="D12" s="13">
        <f>IF('Energy Calculator'!$D$21="(GJ)",'Energy Calculator'!D29*Parameters!$C$4, 'Energy Calculator'!D29)*Parameters!$C$11</f>
        <v>0</v>
      </c>
      <c r="E12" s="13" cm="1">
        <f t="array" ref="E12">_xlfn.IFS('Energy Calculator'!$E$21 ="(GJ)",'Energy Calculator'!E29*Parameters!$C$4,'Energy Calculator'!$E$21="(L)",'Energy Calculator'!E29*Parameters!$C$5,'Energy Calculator'!$E$21="(kg)",'Energy Calculator'!E29*Parameters!$C$6,1,'Energy Calculator'!E29)*Parameters!$C$12</f>
        <v>0</v>
      </c>
      <c r="F12" s="13">
        <f>'Energy Calculator'!F29*Parameters!$C$7*Parameters!$C$13</f>
        <v>0</v>
      </c>
      <c r="G12" s="13">
        <f>'Energy Calculator'!G29*_xlfn.XLOOKUP('Energy Calculator'!$G$21,Parameters!$C$15:$F$15,Parameters!$C$17:$F$17)</f>
        <v>0</v>
      </c>
      <c r="H12" s="13">
        <f>'Energy Calculator'!H29*_xlfn.XLOOKUP('Energy Calculator'!$H$21,Parameters!$C$19:$G$19,Parameters!$C$21:$G$21)*_xlfn.XLOOKUP('Energy Calculator'!$H$21,Parameters!$C$19:$G$19,Parameters!$C$23:$G$23)</f>
        <v>0</v>
      </c>
      <c r="I12" s="17">
        <f t="shared" si="0"/>
        <v>0</v>
      </c>
      <c r="J12" s="1"/>
    </row>
    <row r="13" spans="2:27" ht="15" x14ac:dyDescent="0.4">
      <c r="B13" s="12">
        <f>'Energy Calculator'!B53</f>
        <v>245</v>
      </c>
      <c r="C13" s="13">
        <f>'Energy Calculator'!C30*Parameters!$C$10</f>
        <v>0</v>
      </c>
      <c r="D13" s="13">
        <f>IF('Energy Calculator'!$D$21="(GJ)",'Energy Calculator'!D30*Parameters!$C$4, 'Energy Calculator'!D30)*Parameters!$C$11</f>
        <v>0</v>
      </c>
      <c r="E13" s="13" cm="1">
        <f t="array" ref="E13">_xlfn.IFS('Energy Calculator'!$E$21 ="(GJ)",'Energy Calculator'!E30*Parameters!$C$4,'Energy Calculator'!$E$21="(L)",'Energy Calculator'!E30*Parameters!$C$5,'Energy Calculator'!$E$21="(kg)",'Energy Calculator'!E30*Parameters!$C$6,1,'Energy Calculator'!E30)*Parameters!$C$12</f>
        <v>0</v>
      </c>
      <c r="F13" s="13">
        <f>'Energy Calculator'!F30*Parameters!$C$7*Parameters!$C$13</f>
        <v>0</v>
      </c>
      <c r="G13" s="13">
        <f>'Energy Calculator'!G30*_xlfn.XLOOKUP('Energy Calculator'!$G$21,Parameters!$C$15:$F$15,Parameters!$C$17:$F$17)</f>
        <v>0</v>
      </c>
      <c r="H13" s="13">
        <f>'Energy Calculator'!H30*_xlfn.XLOOKUP('Energy Calculator'!$H$21,Parameters!$C$19:$G$19,Parameters!$C$21:$G$21)*_xlfn.XLOOKUP('Energy Calculator'!$H$21,Parameters!$C$19:$G$19,Parameters!$C$23:$G$23)</f>
        <v>0</v>
      </c>
      <c r="I13" s="17">
        <f t="shared" si="0"/>
        <v>0</v>
      </c>
      <c r="J13" s="1"/>
    </row>
    <row r="14" spans="2:27" ht="15" x14ac:dyDescent="0.4">
      <c r="B14" s="12">
        <f>'Energy Calculator'!B54</f>
        <v>275</v>
      </c>
      <c r="C14" s="13">
        <f>'Energy Calculator'!C31*Parameters!$C$10</f>
        <v>0</v>
      </c>
      <c r="D14" s="13">
        <f>IF('Energy Calculator'!$D$21="(GJ)",'Energy Calculator'!D31*Parameters!$C$4, 'Energy Calculator'!D31)*Parameters!$C$11</f>
        <v>0</v>
      </c>
      <c r="E14" s="13" cm="1">
        <f t="array" ref="E14">_xlfn.IFS('Energy Calculator'!$E$21 ="(GJ)",'Energy Calculator'!E31*Parameters!$C$4,'Energy Calculator'!$E$21="(L)",'Energy Calculator'!E31*Parameters!$C$5,'Energy Calculator'!$E$21="(kg)",'Energy Calculator'!E31*Parameters!$C$6,1,'Energy Calculator'!E31)*Parameters!$C$12</f>
        <v>0</v>
      </c>
      <c r="F14" s="13">
        <f>'Energy Calculator'!F31*Parameters!$C$7*Parameters!$C$13</f>
        <v>0</v>
      </c>
      <c r="G14" s="13">
        <f>'Energy Calculator'!G31*_xlfn.XLOOKUP('Energy Calculator'!$G$21,Parameters!$C$15:$F$15,Parameters!$C$17:$F$17)</f>
        <v>0</v>
      </c>
      <c r="H14" s="13">
        <f>'Energy Calculator'!H31*_xlfn.XLOOKUP('Energy Calculator'!$H$21,Parameters!$C$19:$G$19,Parameters!$C$21:$G$21)*_xlfn.XLOOKUP('Energy Calculator'!$H$21,Parameters!$C$19:$G$19,Parameters!$C$23:$G$23)</f>
        <v>0</v>
      </c>
      <c r="I14" s="17">
        <f t="shared" si="0"/>
        <v>0</v>
      </c>
      <c r="J14" s="1"/>
    </row>
    <row r="15" spans="2:27" ht="15" x14ac:dyDescent="0.4">
      <c r="B15" s="12">
        <f>'Energy Calculator'!B55</f>
        <v>306</v>
      </c>
      <c r="C15" s="13">
        <f>'Energy Calculator'!C32*Parameters!$C$10</f>
        <v>0</v>
      </c>
      <c r="D15" s="13">
        <f>IF('Energy Calculator'!$D$21="(GJ)",'Energy Calculator'!D32*Parameters!$C$4, 'Energy Calculator'!D32)*Parameters!$C$11</f>
        <v>0</v>
      </c>
      <c r="E15" s="13" cm="1">
        <f t="array" ref="E15">_xlfn.IFS('Energy Calculator'!$E$21 ="(GJ)",'Energy Calculator'!E32*Parameters!$C$4,'Energy Calculator'!$E$21="(L)",'Energy Calculator'!E32*Parameters!$C$5,'Energy Calculator'!$E$21="(kg)",'Energy Calculator'!E32*Parameters!$C$6,1,'Energy Calculator'!E32)*Parameters!$C$12</f>
        <v>0</v>
      </c>
      <c r="F15" s="13">
        <f>'Energy Calculator'!F32*Parameters!$C$7*Parameters!$C$13</f>
        <v>0</v>
      </c>
      <c r="G15" s="13">
        <f>'Energy Calculator'!G32*_xlfn.XLOOKUP('Energy Calculator'!$G$21,Parameters!$C$15:$F$15,Parameters!$C$17:$F$17)</f>
        <v>0</v>
      </c>
      <c r="H15" s="13">
        <f>'Energy Calculator'!H32*_xlfn.XLOOKUP('Energy Calculator'!$H$21,Parameters!$C$19:$G$19,Parameters!$C$21:$G$21)*_xlfn.XLOOKUP('Energy Calculator'!$H$21,Parameters!$C$19:$G$19,Parameters!$C$23:$G$23)</f>
        <v>0</v>
      </c>
      <c r="I15" s="17">
        <f t="shared" si="0"/>
        <v>0</v>
      </c>
      <c r="J15" s="1"/>
    </row>
    <row r="16" spans="2:27" ht="15" x14ac:dyDescent="0.4">
      <c r="B16" s="12">
        <f>'Energy Calculator'!B56</f>
        <v>336</v>
      </c>
      <c r="C16" s="13">
        <f>'Energy Calculator'!C33*Parameters!$C$10</f>
        <v>0</v>
      </c>
      <c r="D16" s="13">
        <f>IF('Energy Calculator'!$D$21="(GJ)",'Energy Calculator'!D33*Parameters!$C$4, 'Energy Calculator'!D33)*Parameters!$C$11</f>
        <v>0</v>
      </c>
      <c r="E16" s="13" cm="1">
        <f t="array" ref="E16">_xlfn.IFS('Energy Calculator'!$E$21 ="(GJ)",'Energy Calculator'!E33*Parameters!$C$4,'Energy Calculator'!$E$21="(L)",'Energy Calculator'!E33*Parameters!$C$5,'Energy Calculator'!$E$21="(kg)",'Energy Calculator'!E33*Parameters!$C$6,1,'Energy Calculator'!E33)*Parameters!$C$12</f>
        <v>0</v>
      </c>
      <c r="F16" s="13">
        <f>'Energy Calculator'!F33*Parameters!$C$7*Parameters!$C$13</f>
        <v>0</v>
      </c>
      <c r="G16" s="13">
        <f>'Energy Calculator'!G33*_xlfn.XLOOKUP('Energy Calculator'!$G$21,Parameters!$C$15:$F$15,Parameters!$C$17:$F$17)</f>
        <v>0</v>
      </c>
      <c r="H16" s="13">
        <f>'Energy Calculator'!H33*_xlfn.XLOOKUP('Energy Calculator'!$H$21,Parameters!$C$19:$G$19,Parameters!$C$21:$G$21)*_xlfn.XLOOKUP('Energy Calculator'!$H$21,Parameters!$C$19:$G$19,Parameters!$C$23:$G$23)</f>
        <v>0</v>
      </c>
      <c r="I16" s="17">
        <f t="shared" si="0"/>
        <v>0</v>
      </c>
      <c r="J16" s="1"/>
    </row>
    <row r="17" spans="2:27" ht="15" x14ac:dyDescent="0.4">
      <c r="B17" s="15" t="s">
        <v>0</v>
      </c>
      <c r="C17" s="16">
        <f t="shared" ref="C17:H17" si="1">SUM(C5:C16)</f>
        <v>0</v>
      </c>
      <c r="D17" s="16">
        <f t="shared" si="1"/>
        <v>0</v>
      </c>
      <c r="E17" s="16">
        <f t="shared" si="1"/>
        <v>0</v>
      </c>
      <c r="F17" s="16">
        <f t="shared" si="1"/>
        <v>0</v>
      </c>
      <c r="G17" s="16">
        <f t="shared" si="1"/>
        <v>0</v>
      </c>
      <c r="H17" s="16">
        <f t="shared" si="1"/>
        <v>0</v>
      </c>
      <c r="I17" s="17">
        <f>SUM(C17:H17)</f>
        <v>0</v>
      </c>
      <c r="J17" s="4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2:27" ht="15" x14ac:dyDescent="0.4">
      <c r="B18" s="18"/>
      <c r="C18" s="19">
        <f>IFERROR(C17/$I$17,0)</f>
        <v>0</v>
      </c>
      <c r="D18" s="19">
        <f t="shared" ref="D18:H18" si="2">IFERROR(D17/$I$17,0)</f>
        <v>0</v>
      </c>
      <c r="E18" s="19">
        <f t="shared" si="2"/>
        <v>0</v>
      </c>
      <c r="F18" s="19">
        <f t="shared" si="2"/>
        <v>0</v>
      </c>
      <c r="G18" s="19">
        <f t="shared" si="2"/>
        <v>0</v>
      </c>
      <c r="H18" s="19">
        <f t="shared" si="2"/>
        <v>0</v>
      </c>
      <c r="I18" s="1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2:27" ht="15" x14ac:dyDescent="0.4">
      <c r="B19" s="20"/>
      <c r="C19" s="21" t="str">
        <f t="shared" ref="C19:H19" si="3">IF(C18&lt;0.5%,"",C17)</f>
        <v/>
      </c>
      <c r="D19" s="21" t="str">
        <f t="shared" si="3"/>
        <v/>
      </c>
      <c r="E19" s="21" t="str">
        <f t="shared" si="3"/>
        <v/>
      </c>
      <c r="F19" s="21" t="str">
        <f t="shared" si="3"/>
        <v/>
      </c>
      <c r="G19" s="21" t="str">
        <f t="shared" si="3"/>
        <v/>
      </c>
      <c r="H19" s="21" t="str">
        <f t="shared" si="3"/>
        <v/>
      </c>
      <c r="I19" s="22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2" spans="2:27" ht="39" customHeight="1" x14ac:dyDescent="0.35">
      <c r="B22" s="23" t="s">
        <v>36</v>
      </c>
      <c r="C22" s="24" t="s">
        <v>38</v>
      </c>
      <c r="D22" s="24" t="s">
        <v>7</v>
      </c>
      <c r="E22" s="25" t="s">
        <v>39</v>
      </c>
      <c r="F22" s="25" t="s">
        <v>48</v>
      </c>
      <c r="G22" s="25" t="s">
        <v>40</v>
      </c>
      <c r="H22" s="25" t="s">
        <v>42</v>
      </c>
      <c r="I22" s="25" t="s">
        <v>50</v>
      </c>
      <c r="J22" s="25" t="s">
        <v>49</v>
      </c>
      <c r="K22" s="25" t="s">
        <v>43</v>
      </c>
      <c r="L22" s="25" t="s">
        <v>47</v>
      </c>
      <c r="M22" s="25" t="s">
        <v>51</v>
      </c>
      <c r="N22" s="25" t="s">
        <v>44</v>
      </c>
      <c r="O22" s="25" t="s">
        <v>41</v>
      </c>
      <c r="P22" s="25" t="s">
        <v>52</v>
      </c>
      <c r="Q22" s="25" t="s">
        <v>46</v>
      </c>
      <c r="R22" s="26" t="s">
        <v>45</v>
      </c>
    </row>
    <row r="23" spans="2:27" ht="15" x14ac:dyDescent="0.4">
      <c r="B23" s="27">
        <f>'Energy Calculator'!B45</f>
        <v>0</v>
      </c>
      <c r="C23" s="28">
        <f>_xlfn.XLOOKUP('Energy Calculator'!$E$12,$D$22:$R$22,D23:R23)</f>
        <v>0</v>
      </c>
      <c r="D23" s="29"/>
      <c r="E23" s="30">
        <v>21.279999999999998</v>
      </c>
      <c r="F23" s="30">
        <v>21.1</v>
      </c>
      <c r="G23" s="30">
        <v>19.5</v>
      </c>
      <c r="H23" s="30">
        <v>21.18</v>
      </c>
      <c r="I23" s="30">
        <v>20.939999999999998</v>
      </c>
      <c r="J23" s="30">
        <v>18.78</v>
      </c>
      <c r="K23" s="30">
        <v>19.14</v>
      </c>
      <c r="L23" s="30">
        <v>18.96</v>
      </c>
      <c r="M23" s="30">
        <v>19.46</v>
      </c>
      <c r="N23" s="30">
        <v>18.299999999999997</v>
      </c>
      <c r="O23" s="30">
        <v>16.96</v>
      </c>
      <c r="P23" s="30">
        <v>16.439999999999998</v>
      </c>
      <c r="Q23" s="30">
        <v>17.240000000000002</v>
      </c>
      <c r="R23" s="31">
        <v>15.7</v>
      </c>
    </row>
    <row r="24" spans="2:27" ht="15" x14ac:dyDescent="0.4">
      <c r="B24" s="27">
        <f>'Energy Calculator'!B46</f>
        <v>32</v>
      </c>
      <c r="C24" s="28">
        <f>_xlfn.XLOOKUP('Energy Calculator'!$E$12,$D$22:$R$22,D24:R24)</f>
        <v>0</v>
      </c>
      <c r="D24" s="29"/>
      <c r="E24" s="30">
        <v>21.36</v>
      </c>
      <c r="F24" s="30">
        <v>21.220000000000002</v>
      </c>
      <c r="G24" s="30">
        <v>19.86</v>
      </c>
      <c r="H24" s="30">
        <v>20.9</v>
      </c>
      <c r="I24" s="30">
        <v>20.66</v>
      </c>
      <c r="J24" s="30">
        <v>18.600000000000001</v>
      </c>
      <c r="K24" s="30">
        <v>18.760000000000002</v>
      </c>
      <c r="L24" s="30">
        <v>18.46</v>
      </c>
      <c r="M24" s="30">
        <v>18.46</v>
      </c>
      <c r="N24" s="30">
        <v>17.279999999999998</v>
      </c>
      <c r="O24" s="30">
        <v>16.880000000000003</v>
      </c>
      <c r="P24" s="30">
        <v>15.12</v>
      </c>
      <c r="Q24" s="30">
        <v>15.76</v>
      </c>
      <c r="R24" s="31">
        <v>14.399999999999997</v>
      </c>
    </row>
    <row r="25" spans="2:27" ht="15" x14ac:dyDescent="0.4">
      <c r="B25" s="27">
        <f>'Energy Calculator'!B47</f>
        <v>61</v>
      </c>
      <c r="C25" s="28">
        <f>_xlfn.XLOOKUP('Energy Calculator'!$E$12,$D$22:$R$22,D25:R25)</f>
        <v>0</v>
      </c>
      <c r="D25" s="29"/>
      <c r="E25" s="30">
        <v>19.62</v>
      </c>
      <c r="F25" s="30">
        <v>19.740000000000002</v>
      </c>
      <c r="G25" s="30">
        <v>18.02</v>
      </c>
      <c r="H25" s="30">
        <v>19.18</v>
      </c>
      <c r="I25" s="30">
        <v>18.360000000000003</v>
      </c>
      <c r="J25" s="30">
        <v>17.659999999999997</v>
      </c>
      <c r="K25" s="30">
        <v>17.279999999999998</v>
      </c>
      <c r="L25" s="30">
        <v>17.04</v>
      </c>
      <c r="M25" s="30">
        <v>16.940000000000001</v>
      </c>
      <c r="N25" s="30">
        <v>15.540000000000001</v>
      </c>
      <c r="O25" s="30">
        <v>16.380000000000003</v>
      </c>
      <c r="P25" s="30">
        <v>14.16</v>
      </c>
      <c r="Q25" s="30">
        <v>14.220000000000002</v>
      </c>
      <c r="R25" s="31">
        <v>13.8</v>
      </c>
    </row>
    <row r="26" spans="2:27" ht="15" x14ac:dyDescent="0.4">
      <c r="B26" s="27">
        <f>'Energy Calculator'!B48</f>
        <v>92</v>
      </c>
      <c r="C26" s="28">
        <f>_xlfn.XLOOKUP('Energy Calculator'!$E$12,$D$22:$R$22,D26:R26)</f>
        <v>0</v>
      </c>
      <c r="D26" s="29"/>
      <c r="E26" s="30">
        <v>17.32</v>
      </c>
      <c r="F26" s="30">
        <v>16.96</v>
      </c>
      <c r="G26" s="30">
        <v>14.66</v>
      </c>
      <c r="H26" s="30">
        <v>16.520000000000003</v>
      </c>
      <c r="I26" s="30">
        <v>15.86</v>
      </c>
      <c r="J26" s="30">
        <v>15.02</v>
      </c>
      <c r="K26" s="30">
        <v>14.280000000000001</v>
      </c>
      <c r="L26" s="30">
        <v>14.940000000000001</v>
      </c>
      <c r="M26" s="30">
        <v>14.059999999999999</v>
      </c>
      <c r="N26" s="30">
        <v>12.34</v>
      </c>
      <c r="O26" s="30">
        <v>13.179999999999998</v>
      </c>
      <c r="P26" s="30">
        <v>10.92</v>
      </c>
      <c r="Q26" s="30">
        <v>10.14</v>
      </c>
      <c r="R26" s="31">
        <v>11.02</v>
      </c>
    </row>
    <row r="27" spans="2:27" ht="15" x14ac:dyDescent="0.4">
      <c r="B27" s="27">
        <f>'Energy Calculator'!B49</f>
        <v>122</v>
      </c>
      <c r="C27" s="28">
        <f>_xlfn.XLOOKUP('Energy Calculator'!$E$12,$D$22:$R$22,D27:R27)</f>
        <v>0</v>
      </c>
      <c r="D27" s="29"/>
      <c r="E27" s="30">
        <v>15.16</v>
      </c>
      <c r="F27" s="30">
        <v>14.7</v>
      </c>
      <c r="G27" s="30">
        <v>12.08</v>
      </c>
      <c r="H27" s="30">
        <v>14.2</v>
      </c>
      <c r="I27" s="30">
        <v>13.580000000000002</v>
      </c>
      <c r="J27" s="30">
        <v>13.2</v>
      </c>
      <c r="K27" s="30">
        <v>12.059999999999999</v>
      </c>
      <c r="L27" s="30">
        <v>13.559999999999999</v>
      </c>
      <c r="M27" s="30">
        <v>11.7</v>
      </c>
      <c r="N27" s="30">
        <v>9.9</v>
      </c>
      <c r="O27" s="30">
        <v>11.66</v>
      </c>
      <c r="P27" s="30">
        <v>8.120000000000001</v>
      </c>
      <c r="Q27" s="30">
        <v>7.6599999999999993</v>
      </c>
      <c r="R27" s="31">
        <v>8.879999999999999</v>
      </c>
    </row>
    <row r="28" spans="2:27" ht="15" x14ac:dyDescent="0.4">
      <c r="B28" s="27">
        <f>'Energy Calculator'!B50</f>
        <v>153</v>
      </c>
      <c r="C28" s="28">
        <f>_xlfn.XLOOKUP('Energy Calculator'!$E$12,$D$22:$R$22,D28:R28)</f>
        <v>0</v>
      </c>
      <c r="D28" s="29"/>
      <c r="E28" s="30">
        <v>13.319999999999999</v>
      </c>
      <c r="F28" s="30">
        <v>12.62</v>
      </c>
      <c r="G28" s="30">
        <v>10.28</v>
      </c>
      <c r="H28" s="30">
        <v>12.26</v>
      </c>
      <c r="I28" s="30">
        <v>11.580000000000002</v>
      </c>
      <c r="J28" s="30">
        <v>11.360000000000001</v>
      </c>
      <c r="K28" s="30">
        <v>10.280000000000001</v>
      </c>
      <c r="L28" s="30">
        <v>11.440000000000001</v>
      </c>
      <c r="M28" s="30">
        <v>9.32</v>
      </c>
      <c r="N28" s="30">
        <v>7.32</v>
      </c>
      <c r="O28" s="30">
        <v>9.9749999999999996</v>
      </c>
      <c r="P28" s="30">
        <v>5.56</v>
      </c>
      <c r="Q28" s="30">
        <v>4.6199999999999992</v>
      </c>
      <c r="R28" s="31">
        <v>6.3599999999999994</v>
      </c>
    </row>
    <row r="29" spans="2:27" ht="15" x14ac:dyDescent="0.4">
      <c r="B29" s="27">
        <f>'Energy Calculator'!B51</f>
        <v>183</v>
      </c>
      <c r="C29" s="28">
        <f>_xlfn.XLOOKUP('Energy Calculator'!$E$12,$D$22:$R$22,D29:R29)</f>
        <v>0</v>
      </c>
      <c r="D29" s="29"/>
      <c r="E29" s="30">
        <v>12.56</v>
      </c>
      <c r="F29" s="30">
        <v>11.959999999999999</v>
      </c>
      <c r="G29" s="30">
        <v>9.620000000000001</v>
      </c>
      <c r="H29" s="30">
        <v>11.38</v>
      </c>
      <c r="I29" s="30">
        <v>10.950000000000001</v>
      </c>
      <c r="J29" s="30">
        <v>10.7</v>
      </c>
      <c r="K29" s="30">
        <v>9.74</v>
      </c>
      <c r="L29" s="30">
        <v>10.66</v>
      </c>
      <c r="M29" s="30">
        <v>8.5599999999999987</v>
      </c>
      <c r="N29" s="30">
        <v>6.88</v>
      </c>
      <c r="O29" s="30">
        <v>8.98</v>
      </c>
      <c r="P29" s="30">
        <v>5.66</v>
      </c>
      <c r="Q29" s="30">
        <v>4.6399999999999997</v>
      </c>
      <c r="R29" s="31">
        <v>6.58</v>
      </c>
    </row>
    <row r="30" spans="2:27" ht="15" x14ac:dyDescent="0.4">
      <c r="B30" s="27">
        <f>'Energy Calculator'!B52</f>
        <v>214</v>
      </c>
      <c r="C30" s="28">
        <f>_xlfn.XLOOKUP('Energy Calculator'!$E$12,$D$22:$R$22,D30:R30)</f>
        <v>0</v>
      </c>
      <c r="D30" s="29"/>
      <c r="E30" s="30">
        <v>12.84</v>
      </c>
      <c r="F30" s="30">
        <v>12.360000000000001</v>
      </c>
      <c r="G30" s="30">
        <v>10.180000000000001</v>
      </c>
      <c r="H30" s="30">
        <v>11.72</v>
      </c>
      <c r="I30" s="30">
        <v>11.239999999999998</v>
      </c>
      <c r="J30" s="30">
        <v>10.940000000000001</v>
      </c>
      <c r="K30" s="30">
        <v>9.9999999999999982</v>
      </c>
      <c r="L30" s="30">
        <v>11.12</v>
      </c>
      <c r="M30" s="30">
        <v>9.58</v>
      </c>
      <c r="N30" s="30">
        <v>8</v>
      </c>
      <c r="O30" s="30">
        <v>9.8999999999999986</v>
      </c>
      <c r="P30" s="30">
        <v>7.080000000000001</v>
      </c>
      <c r="Q30" s="30">
        <v>5.9799999999999995</v>
      </c>
      <c r="R30" s="31">
        <v>7.3800000000000008</v>
      </c>
    </row>
    <row r="31" spans="2:27" ht="15" x14ac:dyDescent="0.4">
      <c r="B31" s="27">
        <f>'Energy Calculator'!B53</f>
        <v>245</v>
      </c>
      <c r="C31" s="28">
        <f>_xlfn.XLOOKUP('Energy Calculator'!$E$12,$D$22:$R$22,D31:R31)</f>
        <v>0</v>
      </c>
      <c r="D31" s="29"/>
      <c r="E31" s="30">
        <v>13.66</v>
      </c>
      <c r="F31" s="30">
        <v>13.319999999999999</v>
      </c>
      <c r="G31" s="30">
        <v>11.379999999999999</v>
      </c>
      <c r="H31" s="30">
        <v>12.88</v>
      </c>
      <c r="I31" s="30">
        <v>12.78</v>
      </c>
      <c r="J31" s="30">
        <v>11.64</v>
      </c>
      <c r="K31" s="30">
        <v>11.02</v>
      </c>
      <c r="L31" s="30">
        <v>11.64</v>
      </c>
      <c r="M31" s="30">
        <v>10.78</v>
      </c>
      <c r="N31" s="30">
        <v>9.5</v>
      </c>
      <c r="O31" s="30">
        <v>10.36</v>
      </c>
      <c r="P31" s="30">
        <v>8.4</v>
      </c>
      <c r="Q31" s="30">
        <v>7.580000000000001</v>
      </c>
      <c r="R31" s="31">
        <v>8.5399999999999991</v>
      </c>
    </row>
    <row r="32" spans="2:27" ht="15" x14ac:dyDescent="0.4">
      <c r="B32" s="27">
        <f>'Energy Calculator'!B54</f>
        <v>275</v>
      </c>
      <c r="C32" s="28">
        <f>_xlfn.XLOOKUP('Energy Calculator'!$E$12,$D$22:$R$22,D32:R32)</f>
        <v>0</v>
      </c>
      <c r="D32" s="29"/>
      <c r="E32" s="30">
        <v>15.420000000000002</v>
      </c>
      <c r="F32" s="30">
        <v>15.120000000000001</v>
      </c>
      <c r="G32" s="30">
        <v>13.580000000000002</v>
      </c>
      <c r="H32" s="30">
        <v>14.780000000000001</v>
      </c>
      <c r="I32" s="30">
        <v>14.979999999999999</v>
      </c>
      <c r="J32" s="30">
        <v>13.139999999999997</v>
      </c>
      <c r="K32" s="30">
        <v>12.98</v>
      </c>
      <c r="L32" s="30">
        <v>13.34</v>
      </c>
      <c r="M32" s="30">
        <v>12.88</v>
      </c>
      <c r="N32" s="30">
        <v>11.54</v>
      </c>
      <c r="O32" s="30">
        <v>11.92</v>
      </c>
      <c r="P32" s="30">
        <v>10.5</v>
      </c>
      <c r="Q32" s="30">
        <v>10.199999999999999</v>
      </c>
      <c r="R32" s="31">
        <v>10.459999999999999</v>
      </c>
    </row>
    <row r="33" spans="2:18" ht="15" x14ac:dyDescent="0.4">
      <c r="B33" s="27">
        <f>'Energy Calculator'!B55</f>
        <v>306</v>
      </c>
      <c r="C33" s="28">
        <f>_xlfn.XLOOKUP('Energy Calculator'!$E$12,$D$22:$R$22,D33:R33)</f>
        <v>0</v>
      </c>
      <c r="D33" s="29"/>
      <c r="E33" s="30">
        <v>17.940000000000005</v>
      </c>
      <c r="F33" s="30">
        <v>17.46</v>
      </c>
      <c r="G33" s="30">
        <v>16.119999999999997</v>
      </c>
      <c r="H33" s="30">
        <v>17.5</v>
      </c>
      <c r="I33" s="30">
        <v>17.82</v>
      </c>
      <c r="J33" s="30">
        <v>15.4</v>
      </c>
      <c r="K33" s="30">
        <v>15.540000000000001</v>
      </c>
      <c r="L33" s="30">
        <v>15.539999999999997</v>
      </c>
      <c r="M33" s="30">
        <v>15.36</v>
      </c>
      <c r="N33" s="30">
        <v>14.459999999999999</v>
      </c>
      <c r="O33" s="30">
        <v>14.239999999999998</v>
      </c>
      <c r="P33" s="30">
        <v>13.279999999999998</v>
      </c>
      <c r="Q33" s="30">
        <v>12.88</v>
      </c>
      <c r="R33" s="31">
        <v>12.68</v>
      </c>
    </row>
    <row r="34" spans="2:18" ht="15" x14ac:dyDescent="0.4">
      <c r="B34" s="27">
        <f>'Energy Calculator'!B56</f>
        <v>336</v>
      </c>
      <c r="C34" s="28">
        <f>_xlfn.XLOOKUP('Energy Calculator'!$E$12,$D$22:$R$22,D34:R34)</f>
        <v>0</v>
      </c>
      <c r="D34" s="29"/>
      <c r="E34" s="30">
        <v>19.740000000000002</v>
      </c>
      <c r="F34" s="30">
        <v>19.600000000000001</v>
      </c>
      <c r="G34" s="30">
        <v>18.100000000000001</v>
      </c>
      <c r="H34" s="30">
        <v>19.559999999999999</v>
      </c>
      <c r="I34" s="30">
        <v>19.240000000000002</v>
      </c>
      <c r="J34" s="30">
        <v>17.419999999999998</v>
      </c>
      <c r="K34" s="30">
        <v>17.360000000000003</v>
      </c>
      <c r="L34" s="30">
        <v>17.119999999999997</v>
      </c>
      <c r="M34" s="30">
        <v>17.440000000000001</v>
      </c>
      <c r="N34" s="30">
        <v>16.020000000000003</v>
      </c>
      <c r="O34" s="30">
        <v>15.86</v>
      </c>
      <c r="P34" s="30">
        <v>14.440000000000001</v>
      </c>
      <c r="Q34" s="30">
        <v>14.66</v>
      </c>
      <c r="R34" s="31">
        <v>13.979999999999999</v>
      </c>
    </row>
    <row r="35" spans="2:18" ht="15" x14ac:dyDescent="0.4">
      <c r="B35" s="20"/>
      <c r="C35" s="32">
        <f>AVERAGE(C23:C34)</f>
        <v>0</v>
      </c>
      <c r="D35" s="33"/>
      <c r="E35" s="32">
        <f>AVERAGE(E23:E34)</f>
        <v>16.685000000000002</v>
      </c>
      <c r="F35" s="32">
        <f t="shared" ref="F35:R35" si="4">AVERAGE(F23:F34)</f>
        <v>16.346666666666668</v>
      </c>
      <c r="G35" s="32">
        <f t="shared" si="4"/>
        <v>14.448333333333332</v>
      </c>
      <c r="H35" s="32">
        <f t="shared" si="4"/>
        <v>16.004999999999999</v>
      </c>
      <c r="I35" s="32">
        <f t="shared" si="4"/>
        <v>15.665833333333332</v>
      </c>
      <c r="J35" s="32">
        <f t="shared" si="4"/>
        <v>14.488333333333332</v>
      </c>
      <c r="K35" s="32">
        <f t="shared" si="4"/>
        <v>14.036666666666667</v>
      </c>
      <c r="L35" s="32">
        <f t="shared" si="4"/>
        <v>14.484999999999999</v>
      </c>
      <c r="M35" s="32">
        <f t="shared" si="4"/>
        <v>13.711666666666668</v>
      </c>
      <c r="N35" s="32">
        <f t="shared" si="4"/>
        <v>12.256666666666668</v>
      </c>
      <c r="O35" s="32">
        <f t="shared" si="4"/>
        <v>13.024583333333334</v>
      </c>
      <c r="P35" s="32">
        <f t="shared" si="4"/>
        <v>10.806666666666667</v>
      </c>
      <c r="Q35" s="32">
        <f t="shared" si="4"/>
        <v>10.465</v>
      </c>
      <c r="R35" s="34">
        <f t="shared" si="4"/>
        <v>10.814999999999996</v>
      </c>
    </row>
  </sheetData>
  <sheetProtection algorithmName="SHA-512" hashValue="fMjRysoOJXYTbixJWG7xTQto4wqNyw9nHKjL0k6b891Kz8NxHNc+0JdOeylelgjzoaUza6JYFjYL/rSgYvSofQ==" saltValue="/SxmWIU5g5P+vvCXY6PetQ==" spinCount="100000" sheet="1" objects="1" scenario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Energy Calculator</vt:lpstr>
      <vt:lpstr>Summary Graphs</vt:lpstr>
      <vt:lpstr>Parameters</vt:lpstr>
      <vt:lpstr>Background Calcs</vt:lpstr>
      <vt:lpstr>Electricity__kWh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toby.deridder</dc:creator>
  <cp:lastModifiedBy>Hamish Thomson</cp:lastModifiedBy>
  <cp:lastPrinted>2023-03-23T01:23:13Z</cp:lastPrinted>
  <dcterms:created xsi:type="dcterms:W3CDTF">2015-06-05T18:17:20Z</dcterms:created>
  <dcterms:modified xsi:type="dcterms:W3CDTF">2023-09-12T22:09:04Z</dcterms:modified>
</cp:coreProperties>
</file>